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udent Assistant\2015-16 Budget Allocations &amp; Instructions\"/>
    </mc:Choice>
  </mc:AlternateContent>
  <bookViews>
    <workbookView xWindow="10065" yWindow="-15" windowWidth="10110" windowHeight="8415" tabRatio="604" activeTab="3"/>
  </bookViews>
  <sheets>
    <sheet name="Attach A-15-16-GF Summ" sheetId="6" r:id="rId1"/>
    <sheet name="Attach B-Adj to Base GF" sheetId="1" r:id="rId2"/>
    <sheet name="Attach C-Prelim New GF" sheetId="7" r:id="rId3"/>
    <sheet name="Attach D-net-tuition-rev" sheetId="9" r:id="rId4"/>
  </sheets>
  <definedNames>
    <definedName name="_xlnm.Print_Area" localSheetId="1">'Attach B-Adj to Base GF'!$A$1:$R$44</definedName>
    <definedName name="_xlnm.Print_Area" localSheetId="2">'Attach C-Prelim New GF'!$A$1:$R$45</definedName>
  </definedNames>
  <calcPr calcId="152511"/>
</workbook>
</file>

<file path=xl/calcChain.xml><?xml version="1.0" encoding="utf-8"?>
<calcChain xmlns="http://schemas.openxmlformats.org/spreadsheetml/2006/main">
  <c r="H30" i="7" l="1"/>
  <c r="H16" i="7"/>
  <c r="H14" i="7"/>
  <c r="H37" i="7" l="1"/>
  <c r="H36" i="7"/>
  <c r="H35" i="7"/>
  <c r="V32" i="9" l="1"/>
  <c r="T38" i="9"/>
  <c r="T39" i="9"/>
  <c r="T37" i="9"/>
  <c r="T12" i="9"/>
  <c r="T29" i="9"/>
  <c r="T30" i="9"/>
  <c r="L38" i="7" l="1"/>
  <c r="L22" i="7"/>
  <c r="D23" i="6" l="1"/>
  <c r="D8" i="6"/>
  <c r="G19" i="1"/>
  <c r="Q19" i="1" s="1"/>
  <c r="D19" i="6" s="1"/>
  <c r="G9" i="1"/>
  <c r="Q9" i="1" s="1"/>
  <c r="D9" i="6" s="1"/>
  <c r="Q10" i="1"/>
  <c r="D10" i="6" s="1"/>
  <c r="Q11" i="1"/>
  <c r="D11" i="6" s="1"/>
  <c r="Q12" i="1"/>
  <c r="D12" i="6" s="1"/>
  <c r="Q13" i="1"/>
  <c r="D13" i="6" s="1"/>
  <c r="Q14" i="1"/>
  <c r="D14" i="6" s="1"/>
  <c r="Q15" i="1"/>
  <c r="D15" i="6" s="1"/>
  <c r="Q16" i="1"/>
  <c r="D16" i="6" s="1"/>
  <c r="Q17" i="1"/>
  <c r="D17" i="6" s="1"/>
  <c r="Q18" i="1"/>
  <c r="D18" i="6" s="1"/>
  <c r="Q20" i="1"/>
  <c r="D20" i="6" s="1"/>
  <c r="Q21" i="1"/>
  <c r="D21" i="6" s="1"/>
  <c r="Q22" i="1"/>
  <c r="D22" i="6" s="1"/>
  <c r="Q23" i="1"/>
  <c r="Q24" i="1"/>
  <c r="D24" i="6" s="1"/>
  <c r="Q25" i="1"/>
  <c r="D25" i="6" s="1"/>
  <c r="Q26" i="1"/>
  <c r="D26" i="6" s="1"/>
  <c r="Q27" i="1"/>
  <c r="D27" i="6" s="1"/>
  <c r="Q28" i="1"/>
  <c r="D28" i="6" s="1"/>
  <c r="Q29" i="1"/>
  <c r="D29" i="6" s="1"/>
  <c r="Q30" i="1"/>
  <c r="D30" i="6" s="1"/>
  <c r="Q8" i="1"/>
  <c r="L41" i="1"/>
  <c r="L32" i="1"/>
  <c r="H10" i="7" l="1"/>
  <c r="H11" i="7"/>
  <c r="H12" i="7"/>
  <c r="H13" i="7"/>
  <c r="H15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9" i="7"/>
  <c r="H8" i="7"/>
  <c r="R36" i="7" l="1"/>
  <c r="F36" i="6" s="1"/>
  <c r="H21" i="9"/>
  <c r="T21" i="9" s="1"/>
  <c r="H32" i="7"/>
  <c r="H32" i="9"/>
  <c r="T32" i="9" s="1"/>
  <c r="H31" i="9"/>
  <c r="T31" i="9" s="1"/>
  <c r="H28" i="9"/>
  <c r="T28" i="9" s="1"/>
  <c r="H27" i="9"/>
  <c r="T27" i="9" s="1"/>
  <c r="H26" i="9"/>
  <c r="T26" i="9" s="1"/>
  <c r="H25" i="9"/>
  <c r="T25" i="9" s="1"/>
  <c r="H24" i="9"/>
  <c r="T24" i="9" s="1"/>
  <c r="H23" i="9"/>
  <c r="T23" i="9" s="1"/>
  <c r="H22" i="9"/>
  <c r="T22" i="9" s="1"/>
  <c r="H20" i="9"/>
  <c r="T20" i="9" s="1"/>
  <c r="H19" i="9"/>
  <c r="T19" i="9" s="1"/>
  <c r="H18" i="9"/>
  <c r="T18" i="9" s="1"/>
  <c r="H17" i="9"/>
  <c r="T17" i="9" s="1"/>
  <c r="H16" i="9"/>
  <c r="T16" i="9" s="1"/>
  <c r="H15" i="9"/>
  <c r="T15" i="9" s="1"/>
  <c r="H14" i="9"/>
  <c r="T14" i="9" s="1"/>
  <c r="H13" i="9"/>
  <c r="T13" i="9" s="1"/>
  <c r="H11" i="9"/>
  <c r="T11" i="9" s="1"/>
  <c r="H10" i="9"/>
  <c r="T10" i="9" s="1"/>
  <c r="F34" i="9"/>
  <c r="F41" i="9" s="1"/>
  <c r="B34" i="9"/>
  <c r="B41" i="9" s="1"/>
  <c r="R38" i="7"/>
  <c r="F38" i="6" s="1"/>
  <c r="R39" i="7"/>
  <c r="F39" i="6" s="1"/>
  <c r="H39" i="6" s="1"/>
  <c r="R8" i="7"/>
  <c r="F8" i="6" s="1"/>
  <c r="R14" i="7"/>
  <c r="F14" i="6" s="1"/>
  <c r="R29" i="7"/>
  <c r="F29" i="6" s="1"/>
  <c r="R24" i="7"/>
  <c r="F24" i="6" s="1"/>
  <c r="R27" i="7"/>
  <c r="F27" i="6" s="1"/>
  <c r="R28" i="7"/>
  <c r="F28" i="6" s="1"/>
  <c r="R37" i="7"/>
  <c r="F37" i="6" s="1"/>
  <c r="R34" i="7"/>
  <c r="F34" i="6" s="1"/>
  <c r="R10" i="7"/>
  <c r="F10" i="6" s="1"/>
  <c r="R11" i="7"/>
  <c r="F11" i="6" s="1"/>
  <c r="R12" i="7"/>
  <c r="F12" i="6" s="1"/>
  <c r="R13" i="7"/>
  <c r="F13" i="6" s="1"/>
  <c r="R15" i="7"/>
  <c r="F15" i="6" s="1"/>
  <c r="R16" i="7"/>
  <c r="F16" i="6" s="1"/>
  <c r="R17" i="7"/>
  <c r="F17" i="6" s="1"/>
  <c r="R18" i="7"/>
  <c r="F18" i="6" s="1"/>
  <c r="R19" i="7"/>
  <c r="F19" i="6" s="1"/>
  <c r="R20" i="7"/>
  <c r="F20" i="6" s="1"/>
  <c r="R21" i="7"/>
  <c r="F21" i="6" s="1"/>
  <c r="R22" i="7"/>
  <c r="F22" i="6" s="1"/>
  <c r="R23" i="7"/>
  <c r="F23" i="6" s="1"/>
  <c r="R25" i="7"/>
  <c r="F25" i="6" s="1"/>
  <c r="R26" i="7"/>
  <c r="F26" i="6" s="1"/>
  <c r="R30" i="7"/>
  <c r="F30" i="6" s="1"/>
  <c r="R9" i="7"/>
  <c r="F9" i="6" s="1"/>
  <c r="C32" i="1"/>
  <c r="C41" i="1" s="1"/>
  <c r="N32" i="7"/>
  <c r="N41" i="7" s="1"/>
  <c r="L32" i="7"/>
  <c r="L41" i="7" s="1"/>
  <c r="G34" i="1"/>
  <c r="V19" i="9"/>
  <c r="V11" i="9"/>
  <c r="V12" i="9"/>
  <c r="V13" i="9"/>
  <c r="V14" i="9"/>
  <c r="V15" i="9"/>
  <c r="V16" i="9"/>
  <c r="V17" i="9"/>
  <c r="V18" i="9"/>
  <c r="V20" i="9"/>
  <c r="V21" i="9"/>
  <c r="V22" i="9"/>
  <c r="V23" i="9"/>
  <c r="V24" i="9"/>
  <c r="V25" i="9"/>
  <c r="V26" i="9"/>
  <c r="V27" i="9"/>
  <c r="V28" i="9"/>
  <c r="V29" i="9"/>
  <c r="V30" i="9"/>
  <c r="V31" i="9"/>
  <c r="V10" i="9"/>
  <c r="P32" i="7"/>
  <c r="P41" i="7" s="1"/>
  <c r="F32" i="7"/>
  <c r="F41" i="7" s="1"/>
  <c r="P34" i="9"/>
  <c r="P41" i="9" s="1"/>
  <c r="N34" i="9"/>
  <c r="N41" i="9" s="1"/>
  <c r="L34" i="9"/>
  <c r="L41" i="9"/>
  <c r="J34" i="9"/>
  <c r="J41" i="9" s="1"/>
  <c r="D34" i="9"/>
  <c r="D41" i="9" s="1"/>
  <c r="G32" i="1"/>
  <c r="R34" i="9"/>
  <c r="R41" i="9" s="1"/>
  <c r="T34" i="9"/>
  <c r="T41" i="9" s="1"/>
  <c r="D32" i="7"/>
  <c r="D41" i="7" s="1"/>
  <c r="C32" i="7"/>
  <c r="C41" i="7" s="1"/>
  <c r="B32" i="7"/>
  <c r="B41" i="7" s="1"/>
  <c r="J32" i="7"/>
  <c r="J41" i="7" s="1"/>
  <c r="H34" i="9" l="1"/>
  <c r="H41" i="9" s="1"/>
  <c r="G38" i="1"/>
  <c r="Q38" i="1" s="1"/>
  <c r="D38" i="6" s="1"/>
  <c r="H38" i="6" s="1"/>
  <c r="Q34" i="1"/>
  <c r="D34" i="6" s="1"/>
  <c r="H34" i="6" s="1"/>
  <c r="H30" i="6"/>
  <c r="H22" i="6"/>
  <c r="H13" i="6"/>
  <c r="H21" i="6"/>
  <c r="H14" i="6"/>
  <c r="H17" i="6"/>
  <c r="V34" i="9"/>
  <c r="V41" i="9" s="1"/>
  <c r="H28" i="6"/>
  <c r="H12" i="6"/>
  <c r="H20" i="6"/>
  <c r="H16" i="6"/>
  <c r="H36" i="6"/>
  <c r="H24" i="6"/>
  <c r="D32" i="6"/>
  <c r="H37" i="6"/>
  <c r="Q32" i="1"/>
  <c r="Q41" i="1" s="1"/>
  <c r="H26" i="6"/>
  <c r="H27" i="6"/>
  <c r="H11" i="6"/>
  <c r="H25" i="6"/>
  <c r="H18" i="6"/>
  <c r="H9" i="6"/>
  <c r="H23" i="6"/>
  <c r="H19" i="6"/>
  <c r="H15" i="6"/>
  <c r="H10" i="6"/>
  <c r="H29" i="6"/>
  <c r="H41" i="7"/>
  <c r="R35" i="7"/>
  <c r="F35" i="6" s="1"/>
  <c r="H35" i="6" s="1"/>
  <c r="F32" i="6"/>
  <c r="H8" i="6"/>
  <c r="R32" i="7"/>
  <c r="G41" i="1" l="1"/>
  <c r="R41" i="7"/>
  <c r="D41" i="6"/>
  <c r="H32" i="6"/>
  <c r="H41" i="6" s="1"/>
  <c r="F41" i="6"/>
</calcChain>
</file>

<file path=xl/comments1.xml><?xml version="1.0" encoding="utf-8"?>
<comments xmlns="http://schemas.openxmlformats.org/spreadsheetml/2006/main">
  <authors>
    <author>Canfield, Chris</author>
    <author>Rideau, Rodney</author>
  </authors>
  <commentList>
    <comment ref="L37" authorId="0" shapeId="0">
      <text>
        <r>
          <rPr>
            <b/>
            <sz val="9"/>
            <color indexed="81"/>
            <rFont val="Tahoma"/>
            <family val="2"/>
          </rPr>
          <t>Canfield, Chris:</t>
        </r>
        <r>
          <rPr>
            <sz val="9"/>
            <color indexed="81"/>
            <rFont val="Tahoma"/>
            <family val="2"/>
          </rPr>
          <t xml:space="preserve">
since base revenue for program at campuses, change in mix revenue (-$1,407,000) not shown here; would result in negative total revenue on this line</t>
        </r>
      </text>
    </comment>
    <comment ref="H39" authorId="1" shapeId="0">
      <text>
        <r>
          <rPr>
            <b/>
            <sz val="9"/>
            <color indexed="81"/>
            <rFont val="Tahoma"/>
            <family val="2"/>
          </rPr>
          <t>Rideau, Rodney:</t>
        </r>
        <r>
          <rPr>
            <sz val="9"/>
            <color indexed="81"/>
            <rFont val="Tahoma"/>
            <family val="2"/>
          </rPr>
          <t xml:space="preserve">
Summer Arts revenue collected and administered by Monterey Bay</t>
        </r>
      </text>
    </comment>
  </commentList>
</comments>
</file>

<file path=xl/sharedStrings.xml><?xml version="1.0" encoding="utf-8"?>
<sst xmlns="http://schemas.openxmlformats.org/spreadsheetml/2006/main" count="181" uniqueCount="89">
  <si>
    <t>Campus/CO Programs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</si>
  <si>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</si>
  <si>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</si>
  <si>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</si>
  <si>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</si>
  <si>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</si>
  <si>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</si>
  <si>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</si>
  <si>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</si>
  <si>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</si>
  <si>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</si>
  <si>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</si>
  <si>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</si>
  <si>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</si>
  <si>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</si>
  <si>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</si>
  <si>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</si>
  <si>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</si>
  <si>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</si>
  <si>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</si>
  <si>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</si>
  <si>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</si>
  <si>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</si>
  <si>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</si>
  <si>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</si>
  <si>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</si>
  <si>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</si>
  <si>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</si>
  <si>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</si>
  <si>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</si>
  <si>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Health</t>
  </si>
  <si>
    <t>New Space</t>
  </si>
  <si>
    <t>Mandatory Costs</t>
  </si>
  <si>
    <t>Budget Plan Allocations</t>
  </si>
  <si>
    <t>Coded Memo B 2014-03 General Fund Allocation</t>
  </si>
  <si>
    <t>(Sum of Cols. 1-6)</t>
  </si>
  <si>
    <t>Discounts</t>
  </si>
  <si>
    <t>(Cols. 2 + 6)</t>
  </si>
  <si>
    <t>GO &amp; Lease Revenue Bond Debt Service</t>
  </si>
  <si>
    <t xml:space="preserve">GO &amp; Lease Revenue Bond Debt Service </t>
  </si>
  <si>
    <t>For Reference Only</t>
  </si>
  <si>
    <t xml:space="preserve">ATTACHMENT B - Revisions to 2014-15 General Fund Allocations </t>
  </si>
  <si>
    <t>ATTACHMENT A - General Fund Summary</t>
  </si>
  <si>
    <t>ATTACHMENT C  - New 2015-16 General Fund Allocations</t>
  </si>
  <si>
    <t>(Sum of Cols. 1-8)</t>
  </si>
  <si>
    <t>(Sum of Cols. 1-3)</t>
  </si>
  <si>
    <t>2014-15 Resident FTES Target</t>
  </si>
  <si>
    <t>(Attach. C, Col. 9)</t>
  </si>
  <si>
    <t>2014-15 State Funded Retirement Adjustment</t>
  </si>
  <si>
    <t>Funded Student Enrollment Growth</t>
  </si>
  <si>
    <t>2 Percent Employee Compensation Pool Increase</t>
  </si>
  <si>
    <t>2015-16 Resident FTES Increase</t>
  </si>
  <si>
    <t>Total New            2015-16 General Fund Allocations</t>
  </si>
  <si>
    <t>($5,664 GF / FTES)</t>
  </si>
  <si>
    <t>2015-16 Final Budget Allocations</t>
  </si>
  <si>
    <t xml:space="preserve">2015-16 Final Budget Allocation </t>
  </si>
  <si>
    <t>2015-16 Final Budget Allocation</t>
  </si>
  <si>
    <t>(Attach. B, Col. 4)</t>
  </si>
  <si>
    <t>2015-16 FTES Increase</t>
  </si>
  <si>
    <t>CalStateTEACH</t>
  </si>
  <si>
    <t>Systemwide Initiatives, Performance Funding &amp; Other</t>
  </si>
  <si>
    <t>Coded Memo B 2015-03</t>
  </si>
  <si>
    <t>July 24, 2015</t>
  </si>
  <si>
    <t xml:space="preserve">Student Success &amp; Completion Initiatives </t>
  </si>
  <si>
    <t>2014-15 Supplemental Compensation</t>
  </si>
  <si>
    <t>Gross Tuition Revenue from 10,400 FTES Funded Enrollment Growth</t>
  </si>
  <si>
    <t>Tuition Discount Increases (distribution based on campus relative need)</t>
  </si>
  <si>
    <t>Adjustments in 2015-16 Tuition Revenue and Discounts</t>
  </si>
  <si>
    <t xml:space="preserve">2014-15 Final Budget Tuition Discounts (Coded Memo B 2014-03) </t>
  </si>
  <si>
    <t>Total 2015-16 Net Tuition and Fee Revenue</t>
  </si>
  <si>
    <t>Total 2015-16 Tuition Discounts</t>
  </si>
  <si>
    <t>Total Revisions to 2014-15 General Fund Allocations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</si>
  <si>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Includes deferred maintenance and infrastructure financing, IT infrastructure improvements, funding for performance measures and other systemwide initiatives.  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</si>
  <si>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Represents the year over year adjustment of (instate) tuition revenue (e.g., $5,472 for a full-time undergraduate student) paid by nonresident students. Additional nonresident tuition is not factored here (e.g., $11,160 academic year for full-time student taking 30 units per year).</t>
    </r>
  </si>
  <si>
    <t>Change in Tuition Revenue paid by Resident Students   (based on 2013-14 Change in Student Mix)</t>
  </si>
  <si>
    <t>ATTACHMENT D - Projections of 2015-16 Tuition and Fee Revenues Including Tuition Discounts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</si>
  <si>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nonresident FTES is equal to the 2013-14 actual FTES.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</si>
  <si>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$250,000 for the Mervyn M. Dymally African American Political and Economic Institute included in the Budget Act of 2015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</si>
  <si>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Augmentation for Center for California Studies included in the Budget Act of 2015.</t>
    </r>
  </si>
  <si>
    <t>New 2015-16
 General Fund Allocations</t>
  </si>
  <si>
    <t>Total 2015-16 
General Fund Allocations</t>
  </si>
  <si>
    <t>Revisions to 2014-15 
General Fund Allocations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</si>
  <si>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Base budget adjustments for campus ancillary support programs in desert studies, palliative care, and educational opportunity programs, and for Chancellor's Office systemwide costs.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</si>
  <si>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Campus base budget adjustments related to Statewide University Policy Association (SUPA), CBID R08 April 2015 settlement agreement. </t>
    </r>
  </si>
  <si>
    <r>
      <t xml:space="preserve">Retirement 
</t>
    </r>
    <r>
      <rPr>
        <b/>
        <sz val="9"/>
        <color theme="1"/>
        <rFont val="Calibri"/>
        <family val="2"/>
        <scheme val="minor"/>
      </rPr>
      <t>(new CSU obligation) / Lease Rev. Bond Adj.</t>
    </r>
  </si>
  <si>
    <r>
      <t xml:space="preserve">GF Adjustment, Tuition Discounts   
</t>
    </r>
    <r>
      <rPr>
        <b/>
        <sz val="9"/>
        <color theme="1"/>
        <rFont val="Calibri"/>
        <family val="2"/>
        <scheme val="minor"/>
      </rPr>
      <t>(based on campus relative need)</t>
    </r>
  </si>
  <si>
    <r>
      <t xml:space="preserve">2015-16 Nonresident FTES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</si>
  <si>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 2014-15 Final Budget Gross Tuition and Fee Revenue </t>
    </r>
    <r>
      <rPr>
        <b/>
        <i/>
        <sz val="11"/>
        <color theme="1"/>
        <rFont val="Calibri"/>
        <family val="2"/>
        <scheme val="minor"/>
      </rPr>
      <t>(Campus Reported)</t>
    </r>
  </si>
  <si>
    <r>
      <t>Change in Tuition Revenue (instate) paid by Nonresident Students               (based on change in 2013-14 actual)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</si>
</sst>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000%"/>
    <numFmt numFmtId="167" formatCode="#,##0.000_);\(#,##0.000\)"/>
    <numFmt numFmtId="174" formatCode="&quot;$&quot;#,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37" fontId="0" fillId="0" borderId="0" xfId="0" applyNumberFormat="1" applyFont="1" applyFill="1" applyAlignment="1">
      <alignment horizontal="center" wrapText="1"/>
    </xf>
    <xf numFmtId="37" fontId="4" fillId="0" borderId="0" xfId="0" applyNumberFormat="1" applyFont="1"/>
    <xf numFmtId="3" fontId="9" fillId="0" borderId="0" xfId="0" applyNumberFormat="1" applyFont="1"/>
    <xf numFmtId="37" fontId="2" fillId="0" borderId="3" xfId="0" applyNumberFormat="1" applyFont="1" applyBorder="1"/>
    <xf numFmtId="37" fontId="2" fillId="0" borderId="0" xfId="0" applyNumberFormat="1" applyFont="1" applyAlignment="1">
      <alignment vertical="center"/>
    </xf>
    <xf numFmtId="37" fontId="2" fillId="0" borderId="2" xfId="0" applyNumberFormat="1" applyFont="1" applyBorder="1"/>
    <xf numFmtId="37" fontId="0" fillId="0" borderId="0" xfId="0" applyNumberFormat="1"/>
    <xf numFmtId="37" fontId="2" fillId="0" borderId="0" xfId="0" applyNumberFormat="1" applyFont="1"/>
    <xf numFmtId="37" fontId="9" fillId="0" borderId="0" xfId="0" applyNumberFormat="1" applyFont="1"/>
    <xf numFmtId="5" fontId="2" fillId="0" borderId="3" xfId="0" applyNumberFormat="1" applyFont="1" applyBorder="1"/>
    <xf numFmtId="5" fontId="2" fillId="0" borderId="2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/>
    <xf numFmtId="37" fontId="2" fillId="0" borderId="0" xfId="0" applyNumberFormat="1" applyFont="1" applyAlignment="1">
      <alignment horizontal="center" wrapText="1"/>
    </xf>
    <xf numFmtId="37" fontId="13" fillId="0" borderId="0" xfId="0" applyNumberFormat="1" applyFont="1" applyFill="1" applyAlignment="1">
      <alignment horizontal="center" wrapText="1"/>
    </xf>
    <xf numFmtId="37" fontId="14" fillId="0" borderId="0" xfId="0" applyNumberFormat="1" applyFont="1" applyFill="1" applyAlignment="1">
      <alignment horizontal="center" wrapText="1"/>
    </xf>
    <xf numFmtId="37" fontId="2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Alignment="1">
      <alignment horizontal="left"/>
    </xf>
    <xf numFmtId="37" fontId="2" fillId="0" borderId="2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/>
    <xf numFmtId="37" fontId="2" fillId="0" borderId="0" xfId="0" applyNumberFormat="1" applyFont="1" applyBorder="1"/>
    <xf numFmtId="37" fontId="2" fillId="0" borderId="3" xfId="0" applyNumberFormat="1" applyFont="1" applyBorder="1" applyAlignment="1">
      <alignment horizontal="center"/>
    </xf>
    <xf numFmtId="5" fontId="2" fillId="2" borderId="3" xfId="0" applyNumberFormat="1" applyFont="1" applyFill="1" applyBorder="1"/>
    <xf numFmtId="37" fontId="15" fillId="2" borderId="0" xfId="0" applyNumberFormat="1" applyFont="1" applyFill="1" applyAlignment="1">
      <alignment horizontal="center" wrapText="1"/>
    </xf>
    <xf numFmtId="5" fontId="2" fillId="2" borderId="2" xfId="0" applyNumberFormat="1" applyFont="1" applyFill="1" applyBorder="1"/>
    <xf numFmtId="37" fontId="17" fillId="0" borderId="0" xfId="0" applyNumberFormat="1" applyFont="1" applyFill="1" applyAlignment="1">
      <alignment wrapText="1"/>
    </xf>
    <xf numFmtId="165" fontId="0" fillId="0" borderId="0" xfId="56" applyNumberFormat="1" applyFont="1"/>
    <xf numFmtId="37" fontId="2" fillId="0" borderId="0" xfId="0" applyNumberFormat="1" applyFont="1" applyBorder="1" applyAlignment="1">
      <alignment vertical="center"/>
    </xf>
    <xf numFmtId="5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Alignment="1">
      <alignment horizontal="center" wrapText="1"/>
    </xf>
    <xf numFmtId="37" fontId="15" fillId="0" borderId="0" xfId="0" applyNumberFormat="1" applyFont="1" applyFill="1" applyAlignment="1">
      <alignment horizontal="center" wrapText="1"/>
    </xf>
    <xf numFmtId="5" fontId="2" fillId="0" borderId="2" xfId="0" applyNumberFormat="1" applyFont="1" applyFill="1" applyBorder="1"/>
    <xf numFmtId="5" fontId="2" fillId="0" borderId="3" xfId="0" applyNumberFormat="1" applyFont="1" applyFill="1" applyBorder="1"/>
    <xf numFmtId="37" fontId="2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164" fontId="0" fillId="0" borderId="0" xfId="0" applyNumberFormat="1" applyFont="1" applyAlignment="1">
      <alignment horizontal="center"/>
    </xf>
    <xf numFmtId="37" fontId="0" fillId="0" borderId="0" xfId="0" applyNumberFormat="1" applyFont="1" applyFill="1"/>
    <xf numFmtId="37" fontId="17" fillId="0" borderId="0" xfId="0" applyNumberFormat="1" applyFont="1" applyFill="1" applyAlignment="1">
      <alignment horizontal="center" wrapText="1"/>
    </xf>
    <xf numFmtId="0" fontId="0" fillId="0" borderId="0" xfId="0" applyFont="1"/>
    <xf numFmtId="0" fontId="0" fillId="2" borderId="0" xfId="0" applyFont="1" applyFill="1"/>
    <xf numFmtId="5" fontId="0" fillId="2" borderId="0" xfId="0" applyNumberFormat="1" applyFont="1" applyFill="1"/>
    <xf numFmtId="5" fontId="0" fillId="0" borderId="2" xfId="0" applyNumberFormat="1" applyFont="1" applyBorder="1"/>
    <xf numFmtId="5" fontId="0" fillId="0" borderId="3" xfId="0" applyNumberFormat="1" applyFont="1" applyBorder="1"/>
    <xf numFmtId="37" fontId="4" fillId="0" borderId="0" xfId="0" applyNumberFormat="1" applyFont="1" applyBorder="1"/>
    <xf numFmtId="166" fontId="0" fillId="0" borderId="0" xfId="0" applyNumberFormat="1" applyFont="1" applyBorder="1"/>
    <xf numFmtId="167" fontId="0" fillId="0" borderId="0" xfId="0" applyNumberFormat="1" applyFont="1"/>
    <xf numFmtId="37" fontId="18" fillId="0" borderId="0" xfId="0" applyNumberFormat="1" applyFont="1"/>
    <xf numFmtId="164" fontId="0" fillId="0" borderId="0" xfId="0" applyNumberFormat="1" applyFont="1" applyAlignment="1">
      <alignment horizontal="right"/>
    </xf>
    <xf numFmtId="39" fontId="0" fillId="0" borderId="0" xfId="0" applyNumberFormat="1" applyFont="1"/>
    <xf numFmtId="37" fontId="2" fillId="0" borderId="1" xfId="0" applyNumberFormat="1" applyFont="1" applyBorder="1" applyAlignment="1">
      <alignment horizontal="center" vertical="center"/>
    </xf>
    <xf numFmtId="37" fontId="2" fillId="0" borderId="1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Alignment="1">
      <alignment horizontal="left" wrapText="1"/>
    </xf>
    <xf numFmtId="37" fontId="2" fillId="0" borderId="1" xfId="0" applyNumberFormat="1" applyFont="1" applyFill="1" applyBorder="1" applyAlignment="1">
      <alignment horizontal="center"/>
    </xf>
    <xf numFmtId="37" fontId="21" fillId="0" borderId="0" xfId="0" applyNumberFormat="1" applyFont="1"/>
    <xf numFmtId="37" fontId="22" fillId="0" borderId="0" xfId="0" applyNumberFormat="1" applyFont="1" applyAlignment="1">
      <alignment horizontal="center"/>
    </xf>
    <xf numFmtId="37" fontId="22" fillId="0" borderId="0" xfId="0" applyNumberFormat="1" applyFont="1"/>
    <xf numFmtId="37" fontId="21" fillId="0" borderId="0" xfId="0" applyNumberFormat="1" applyFont="1" applyFill="1" applyAlignment="1">
      <alignment horizontal="center" wrapText="1"/>
    </xf>
    <xf numFmtId="37" fontId="22" fillId="0" borderId="0" xfId="0" applyNumberFormat="1" applyFont="1" applyFill="1" applyAlignment="1">
      <alignment horizontal="center" wrapText="1"/>
    </xf>
    <xf numFmtId="37" fontId="22" fillId="0" borderId="0" xfId="0" applyNumberFormat="1" applyFont="1" applyFill="1"/>
    <xf numFmtId="5" fontId="22" fillId="0" borderId="0" xfId="0" applyNumberFormat="1" applyFont="1"/>
    <xf numFmtId="5" fontId="21" fillId="0" borderId="2" xfId="0" applyNumberFormat="1" applyFont="1" applyBorder="1"/>
    <xf numFmtId="5" fontId="22" fillId="0" borderId="2" xfId="0" applyNumberFormat="1" applyFont="1" applyBorder="1"/>
    <xf numFmtId="5" fontId="21" fillId="0" borderId="3" xfId="0" applyNumberFormat="1" applyFont="1" applyBorder="1"/>
    <xf numFmtId="5" fontId="22" fillId="0" borderId="3" xfId="0" applyNumberFormat="1" applyFont="1" applyBorder="1"/>
    <xf numFmtId="37" fontId="4" fillId="0" borderId="0" xfId="0" applyNumberFormat="1" applyFont="1" applyFill="1" applyAlignment="1">
      <alignment horizontal="center" wrapText="1"/>
    </xf>
    <xf numFmtId="37" fontId="21" fillId="0" borderId="0" xfId="0" applyNumberFormat="1" applyFont="1" applyAlignment="1">
      <alignment horizontal="right"/>
    </xf>
    <xf numFmtId="37" fontId="21" fillId="0" borderId="0" xfId="0" quotePrefix="1" applyNumberFormat="1" applyFont="1" applyAlignment="1">
      <alignment horizontal="right"/>
    </xf>
    <xf numFmtId="37" fontId="24" fillId="0" borderId="0" xfId="0" applyNumberFormat="1" applyFont="1"/>
    <xf numFmtId="37" fontId="25" fillId="0" borderId="0" xfId="0" applyNumberFormat="1" applyFont="1"/>
    <xf numFmtId="37" fontId="26" fillId="0" borderId="0" xfId="0" applyNumberFormat="1" applyFont="1"/>
    <xf numFmtId="37" fontId="27" fillId="0" borderId="4" xfId="0" applyNumberFormat="1" applyFont="1" applyBorder="1"/>
    <xf numFmtId="37" fontId="27" fillId="0" borderId="5" xfId="0" applyNumberFormat="1" applyFont="1" applyBorder="1"/>
    <xf numFmtId="37" fontId="27" fillId="0" borderId="6" xfId="0" applyNumberFormat="1" applyFont="1" applyBorder="1"/>
    <xf numFmtId="3" fontId="25" fillId="0" borderId="0" xfId="0" applyNumberFormat="1" applyFont="1"/>
    <xf numFmtId="37" fontId="26" fillId="0" borderId="0" xfId="0" applyNumberFormat="1" applyFont="1" applyAlignment="1">
      <alignment horizontal="center"/>
    </xf>
    <xf numFmtId="37" fontId="22" fillId="0" borderId="0" xfId="0" applyNumberFormat="1" applyFont="1" applyBorder="1"/>
    <xf numFmtId="37" fontId="22" fillId="0" borderId="0" xfId="0" applyNumberFormat="1" applyFont="1" applyAlignment="1">
      <alignment horizontal="center" wrapText="1"/>
    </xf>
    <xf numFmtId="37" fontId="21" fillId="0" borderId="1" xfId="0" applyNumberFormat="1" applyFont="1" applyBorder="1" applyAlignment="1">
      <alignment horizontal="center" wrapText="1"/>
    </xf>
    <xf numFmtId="37" fontId="22" fillId="0" borderId="0" xfId="0" applyNumberFormat="1" applyFont="1" applyBorder="1" applyAlignment="1">
      <alignment horizontal="center" wrapText="1"/>
    </xf>
    <xf numFmtId="37" fontId="21" fillId="0" borderId="0" xfId="0" applyNumberFormat="1" applyFont="1" applyAlignment="1">
      <alignment horizontal="center" wrapText="1"/>
    </xf>
    <xf numFmtId="37" fontId="31" fillId="0" borderId="0" xfId="0" applyNumberFormat="1" applyFont="1" applyAlignment="1">
      <alignment horizontal="center" wrapText="1"/>
    </xf>
    <xf numFmtId="5" fontId="22" fillId="0" borderId="0" xfId="0" applyNumberFormat="1" applyFont="1" applyAlignment="1"/>
    <xf numFmtId="5" fontId="22" fillId="0" borderId="0" xfId="0" applyNumberFormat="1" applyFont="1" applyBorder="1"/>
    <xf numFmtId="37" fontId="22" fillId="0" borderId="0" xfId="0" applyNumberFormat="1" applyFont="1" applyAlignment="1"/>
    <xf numFmtId="37" fontId="21" fillId="0" borderId="2" xfId="0" applyNumberFormat="1" applyFont="1" applyBorder="1"/>
    <xf numFmtId="5" fontId="21" fillId="0" borderId="2" xfId="0" applyNumberFormat="1" applyFont="1" applyBorder="1" applyAlignment="1"/>
    <xf numFmtId="37" fontId="21" fillId="0" borderId="3" xfId="0" applyNumberFormat="1" applyFont="1" applyBorder="1"/>
    <xf numFmtId="5" fontId="21" fillId="0" borderId="3" xfId="0" applyNumberFormat="1" applyFont="1" applyBorder="1" applyAlignment="1"/>
    <xf numFmtId="37" fontId="22" fillId="0" borderId="0" xfId="0" applyNumberFormat="1" applyFont="1" applyAlignment="1">
      <alignment horizontal="left" wrapText="1"/>
    </xf>
    <xf numFmtId="37" fontId="21" fillId="0" borderId="7" xfId="0" applyNumberFormat="1" applyFont="1" applyFill="1" applyBorder="1" applyAlignment="1">
      <alignment horizontal="center" wrapText="1"/>
    </xf>
    <xf numFmtId="37" fontId="21" fillId="0" borderId="0" xfId="0" applyNumberFormat="1" applyFont="1" applyAlignment="1">
      <alignment horizontal="center"/>
    </xf>
    <xf numFmtId="37" fontId="21" fillId="0" borderId="0" xfId="0" applyNumberFormat="1" applyFont="1" applyFill="1" applyBorder="1" applyAlignment="1">
      <alignment horizontal="center" wrapText="1"/>
    </xf>
    <xf numFmtId="37" fontId="28" fillId="0" borderId="4" xfId="0" applyNumberFormat="1" applyFont="1" applyBorder="1"/>
    <xf numFmtId="37" fontId="28" fillId="0" borderId="5" xfId="0" applyNumberFormat="1" applyFont="1" applyBorder="1"/>
    <xf numFmtId="37" fontId="28" fillId="0" borderId="6" xfId="0" applyNumberFormat="1" applyFont="1" applyBorder="1"/>
    <xf numFmtId="37" fontId="30" fillId="0" borderId="0" xfId="0" applyNumberFormat="1" applyFont="1" applyBorder="1" applyAlignment="1">
      <alignment horizontal="left" wrapText="1"/>
    </xf>
    <xf numFmtId="37" fontId="21" fillId="0" borderId="0" xfId="0" applyNumberFormat="1" applyFont="1" applyBorder="1" applyAlignment="1">
      <alignment horizontal="center" wrapText="1"/>
    </xf>
    <xf numFmtId="37" fontId="28" fillId="0" borderId="5" xfId="0" applyNumberFormat="1" applyFont="1" applyBorder="1" applyAlignment="1"/>
    <xf numFmtId="37" fontId="28" fillId="0" borderId="6" xfId="0" applyNumberFormat="1" applyFont="1" applyBorder="1" applyAlignment="1"/>
    <xf numFmtId="37" fontId="2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left"/>
    </xf>
    <xf numFmtId="164" fontId="27" fillId="0" borderId="5" xfId="0" applyNumberFormat="1" applyFont="1" applyBorder="1" applyAlignment="1">
      <alignment horizontal="center"/>
    </xf>
    <xf numFmtId="37" fontId="27" fillId="0" borderId="5" xfId="0" applyNumberFormat="1" applyFont="1" applyFill="1" applyBorder="1"/>
    <xf numFmtId="164" fontId="27" fillId="0" borderId="5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2" fillId="0" borderId="8" xfId="0" applyNumberFormat="1" applyFont="1" applyBorder="1" applyAlignment="1">
      <alignment horizontal="center" wrapText="1"/>
    </xf>
    <xf numFmtId="37" fontId="2" fillId="0" borderId="7" xfId="0" applyNumberFormat="1" applyFont="1" applyFill="1" applyBorder="1" applyAlignment="1">
      <alignment horizontal="center" wrapText="1"/>
    </xf>
    <xf numFmtId="37" fontId="2" fillId="0" borderId="7" xfId="0" applyNumberFormat="1" applyFont="1" applyBorder="1" applyAlignment="1">
      <alignment horizontal="center" wrapText="1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65" fontId="0" fillId="0" borderId="0" xfId="56" applyNumberFormat="1" applyFont="1" applyFill="1"/>
    <xf numFmtId="174" fontId="2" fillId="0" borderId="3" xfId="0" applyNumberFormat="1" applyFont="1" applyBorder="1" applyAlignment="1">
      <alignment horizontal="right"/>
    </xf>
    <xf numFmtId="165" fontId="22" fillId="0" borderId="0" xfId="56" applyNumberFormat="1" applyFont="1" applyAlignment="1"/>
    <xf numFmtId="174" fontId="21" fillId="0" borderId="2" xfId="57" applyNumberFormat="1" applyFont="1" applyBorder="1" applyAlignment="1"/>
    <xf numFmtId="165" fontId="22" fillId="0" borderId="0" xfId="56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wrapText="1"/>
    </xf>
    <xf numFmtId="37" fontId="2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37" fontId="14" fillId="0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5" fontId="0" fillId="2" borderId="0" xfId="56" applyNumberFormat="1" applyFont="1" applyFill="1"/>
    <xf numFmtId="0" fontId="27" fillId="0" borderId="5" xfId="0" applyFont="1" applyBorder="1"/>
    <xf numFmtId="5" fontId="27" fillId="2" borderId="6" xfId="0" applyNumberFormat="1" applyFont="1" applyFill="1" applyBorder="1"/>
  </cellXfs>
  <cellStyles count="58">
    <cellStyle name="_FeeWaiver_rvsd_TBLS24-34_7-23-01" xfId="45"/>
    <cellStyle name="Comma" xfId="56" builtinId="3"/>
    <cellStyle name="Comma 2" xfId="4"/>
    <cellStyle name="Comma 2 2" xfId="30"/>
    <cellStyle name="Comma 2 3" xfId="50"/>
    <cellStyle name="Comma 3" xfId="5"/>
    <cellStyle name="Comma 4" xfId="6"/>
    <cellStyle name="Comma 4 2" xfId="7"/>
    <cellStyle name="Comma 5" xfId="8"/>
    <cellStyle name="Comma 6" xfId="9"/>
    <cellStyle name="Comma 6 2" xfId="29"/>
    <cellStyle name="Comma 7" xfId="10"/>
    <cellStyle name="Comma 7 2" xfId="11"/>
    <cellStyle name="Comma 7 3" xfId="36"/>
    <cellStyle name="Comma 7 4" xfId="38"/>
    <cellStyle name="Comma 8" xfId="39"/>
    <cellStyle name="Comma 9" xfId="49"/>
    <cellStyle name="Currency" xfId="57" builtinId="4"/>
    <cellStyle name="Currency 2" xfId="12"/>
    <cellStyle name="Currency 2 2" xfId="13"/>
    <cellStyle name="Currency 2 3" xfId="52"/>
    <cellStyle name="Currency 3" xfId="14"/>
    <cellStyle name="Currency 3 2" xfId="15"/>
    <cellStyle name="Currency 4" xfId="51"/>
    <cellStyle name="Normal" xfId="0" builtinId="0"/>
    <cellStyle name="Normal 10" xfId="43"/>
    <cellStyle name="Normal 11" xfId="3"/>
    <cellStyle name="Normal 2" xfId="2"/>
    <cellStyle name="Normal 2 2" xfId="1"/>
    <cellStyle name="Normal 2 3" xfId="53"/>
    <cellStyle name="Normal 3" xfId="16"/>
    <cellStyle name="Normal 3 2" xfId="54"/>
    <cellStyle name="Normal 4" xfId="17"/>
    <cellStyle name="Normal 4 2" xfId="18"/>
    <cellStyle name="Normal 5" xfId="19"/>
    <cellStyle name="Normal 5 2" xfId="20"/>
    <cellStyle name="Normal 5 2 2" xfId="31"/>
    <cellStyle name="Normal 5 2 3" xfId="32"/>
    <cellStyle name="Normal 5 2 4" xfId="33"/>
    <cellStyle name="Normal 5 2 4 2" xfId="48"/>
    <cellStyle name="Normal 5 2 5" xfId="34"/>
    <cellStyle name="Normal 5 2 5 2" xfId="47"/>
    <cellStyle name="Normal 5 3" xfId="35"/>
    <cellStyle name="Normal 5 4" xfId="40"/>
    <cellStyle name="Normal 5 5" xfId="41"/>
    <cellStyle name="Normal 5 6" xfId="37"/>
    <cellStyle name="Normal 6" xfId="21"/>
    <cellStyle name="Normal 7" xfId="22"/>
    <cellStyle name="Normal 7 2" xfId="23"/>
    <cellStyle name="Normal 8" xfId="27"/>
    <cellStyle name="Normal 8 2" xfId="28"/>
    <cellStyle name="Normal 9" xfId="42"/>
    <cellStyle name="Percent 2" xfId="25"/>
    <cellStyle name="Percent 2 2" xfId="55"/>
    <cellStyle name="Percent 3" xfId="26"/>
    <cellStyle name="Percent 4" xfId="44"/>
    <cellStyle name="Percent 5" xfId="24"/>
    <cellStyle name="Style 1" xfId="46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L22" sqref="L22"/>
    </sheetView>
  </sheetViews>
  <sheetFormatPr defaultColWidth="8.85546875" defaultRowHeight="15"/>
  <cols>
    <col min="1" max="1" width="21.5703125" style="14" customWidth="1"/>
    <col min="2" max="2" width="27.7109375" style="14" customWidth="1"/>
    <col min="3" max="3" width="2.7109375" style="14" customWidth="1"/>
    <col min="4" max="4" width="27.7109375" style="14" customWidth="1"/>
    <col min="5" max="5" width="2.7109375" style="14" customWidth="1"/>
    <col min="6" max="6" width="27.7109375" style="14" customWidth="1"/>
    <col min="7" max="7" width="2.7109375" style="14" customWidth="1"/>
    <col min="8" max="8" width="27.7109375" style="14" customWidth="1"/>
    <col min="9" max="9" width="2.7109375" style="14" customWidth="1"/>
    <col min="10" max="10" width="14.42578125" style="14" customWidth="1"/>
    <col min="11" max="11" width="13.42578125" style="14" customWidth="1"/>
    <col min="12" max="12" width="19.7109375" style="14" customWidth="1"/>
    <col min="13" max="13" width="11.85546875" style="14" bestFit="1" customWidth="1"/>
    <col min="14" max="14" width="12.85546875" style="14" bestFit="1" customWidth="1"/>
    <col min="15" max="15" width="8.85546875" style="14"/>
    <col min="16" max="16" width="11.85546875" style="14" bestFit="1" customWidth="1"/>
    <col min="17" max="17" width="12.85546875" style="14" bestFit="1" customWidth="1"/>
    <col min="18" max="16384" width="8.85546875" style="14"/>
  </cols>
  <sheetData>
    <row r="1" spans="1:17" ht="21">
      <c r="A1" s="75" t="s">
        <v>42</v>
      </c>
      <c r="B1" s="76"/>
      <c r="C1" s="76"/>
      <c r="H1" s="72" t="s">
        <v>61</v>
      </c>
    </row>
    <row r="2" spans="1:17" ht="21">
      <c r="A2" s="75" t="s">
        <v>54</v>
      </c>
      <c r="B2" s="76"/>
      <c r="C2" s="76"/>
      <c r="H2" s="73" t="s">
        <v>62</v>
      </c>
    </row>
    <row r="3" spans="1:17" ht="14.45" customHeight="1">
      <c r="A3" s="9"/>
    </row>
    <row r="4" spans="1:17" s="62" customFormat="1" ht="14.25" customHeight="1">
      <c r="A4" s="60"/>
      <c r="B4" s="97">
        <v>-1</v>
      </c>
      <c r="C4" s="97"/>
      <c r="D4" s="97">
        <v>-2</v>
      </c>
      <c r="E4" s="97"/>
      <c r="F4" s="97">
        <v>-3</v>
      </c>
      <c r="G4" s="97"/>
      <c r="H4" s="97">
        <v>-4</v>
      </c>
    </row>
    <row r="5" spans="1:17" s="62" customFormat="1" ht="35.1" customHeight="1">
      <c r="B5" s="96" t="s">
        <v>34</v>
      </c>
      <c r="C5" s="98"/>
      <c r="D5" s="96" t="s">
        <v>81</v>
      </c>
      <c r="E5" s="98"/>
      <c r="F5" s="96" t="s">
        <v>79</v>
      </c>
      <c r="G5" s="98"/>
      <c r="H5" s="96" t="s">
        <v>80</v>
      </c>
    </row>
    <row r="6" spans="1:17" s="65" customFormat="1" ht="15" customHeight="1">
      <c r="B6" s="63"/>
      <c r="C6" s="63"/>
      <c r="D6" s="71" t="s">
        <v>57</v>
      </c>
      <c r="E6" s="71"/>
      <c r="F6" s="71" t="s">
        <v>47</v>
      </c>
      <c r="G6" s="71"/>
      <c r="H6" s="71" t="s">
        <v>45</v>
      </c>
    </row>
    <row r="7" spans="1:17" s="65" customFormat="1" ht="9" customHeight="1">
      <c r="B7" s="63"/>
      <c r="C7" s="63"/>
      <c r="D7" s="64"/>
      <c r="E7" s="64"/>
      <c r="F7" s="64"/>
      <c r="G7" s="64"/>
      <c r="H7" s="63"/>
    </row>
    <row r="8" spans="1:17" s="66" customFormat="1" ht="15.75">
      <c r="A8" s="66" t="s">
        <v>1</v>
      </c>
      <c r="B8" s="123">
        <v>54944409</v>
      </c>
      <c r="C8" s="123"/>
      <c r="D8" s="123">
        <f>'Attach B-Adj to Base GF'!Q8</f>
        <v>1386900</v>
      </c>
      <c r="E8" s="123"/>
      <c r="F8" s="123">
        <f>'Attach C-Prelim New GF'!R8</f>
        <v>3597000</v>
      </c>
      <c r="G8" s="123"/>
      <c r="H8" s="123">
        <f t="shared" ref="H8:H30" si="0">SUM(B8:F8)</f>
        <v>59928309</v>
      </c>
    </row>
    <row r="9" spans="1:17" s="62" customFormat="1" ht="15.75">
      <c r="A9" s="62" t="s">
        <v>2</v>
      </c>
      <c r="B9" s="62">
        <v>60207210</v>
      </c>
      <c r="D9" s="62">
        <f>'Attach B-Adj to Base GF'!Q9</f>
        <v>1715700</v>
      </c>
      <c r="F9" s="62">
        <f>'Attach C-Prelim New GF'!R9</f>
        <v>5147000</v>
      </c>
      <c r="H9" s="62">
        <f t="shared" si="0"/>
        <v>67069910</v>
      </c>
      <c r="N9" s="66"/>
      <c r="Q9" s="66"/>
    </row>
    <row r="10" spans="1:17" s="62" customFormat="1" ht="15.75">
      <c r="A10" s="62" t="s">
        <v>3</v>
      </c>
      <c r="B10" s="62">
        <v>92245032</v>
      </c>
      <c r="D10" s="62">
        <f>'Attach B-Adj to Base GF'!Q10</f>
        <v>2626200</v>
      </c>
      <c r="F10" s="62">
        <f>'Attach C-Prelim New GF'!R10</f>
        <v>5925000</v>
      </c>
      <c r="H10" s="62">
        <f t="shared" si="0"/>
        <v>100796232</v>
      </c>
      <c r="N10" s="66"/>
      <c r="Q10" s="66"/>
    </row>
    <row r="11" spans="1:17" s="62" customFormat="1" ht="15.75">
      <c r="A11" s="62" t="s">
        <v>4</v>
      </c>
      <c r="B11" s="62">
        <v>65742152</v>
      </c>
      <c r="D11" s="62">
        <f>'Attach B-Adj to Base GF'!Q11</f>
        <v>1769200</v>
      </c>
      <c r="F11" s="62">
        <f>'Attach C-Prelim New GF'!R11</f>
        <v>5163000</v>
      </c>
      <c r="H11" s="62">
        <f t="shared" si="0"/>
        <v>72674352</v>
      </c>
      <c r="N11" s="66"/>
      <c r="Q11" s="66"/>
    </row>
    <row r="12" spans="1:17" s="62" customFormat="1" ht="16.5" thickBot="1">
      <c r="A12" s="62" t="s">
        <v>5</v>
      </c>
      <c r="B12" s="62">
        <v>74079561</v>
      </c>
      <c r="D12" s="62">
        <f>'Attach B-Adj to Base GF'!Q12</f>
        <v>2367800</v>
      </c>
      <c r="F12" s="62">
        <f>'Attach C-Prelim New GF'!R12</f>
        <v>5008000</v>
      </c>
      <c r="H12" s="62">
        <f t="shared" si="0"/>
        <v>81455361</v>
      </c>
      <c r="N12" s="66"/>
      <c r="Q12" s="66"/>
    </row>
    <row r="13" spans="1:17" s="62" customFormat="1" ht="21.75" thickBot="1">
      <c r="A13" s="99" t="s">
        <v>6</v>
      </c>
      <c r="B13" s="100">
        <v>118455832</v>
      </c>
      <c r="C13" s="100"/>
      <c r="D13" s="100">
        <f>'Attach B-Adj to Base GF'!Q13</f>
        <v>3207700</v>
      </c>
      <c r="E13" s="100"/>
      <c r="F13" s="100">
        <f>'Attach C-Prelim New GF'!R13</f>
        <v>7015000</v>
      </c>
      <c r="G13" s="100"/>
      <c r="H13" s="101">
        <f t="shared" si="0"/>
        <v>128678532</v>
      </c>
      <c r="N13" s="66"/>
      <c r="Q13" s="66"/>
    </row>
    <row r="14" spans="1:17" s="62" customFormat="1" ht="15.75">
      <c r="A14" s="62" t="s">
        <v>7</v>
      </c>
      <c r="B14" s="62">
        <v>144394061</v>
      </c>
      <c r="D14" s="62">
        <f>'Attach B-Adj to Base GF'!Q14</f>
        <v>4868600</v>
      </c>
      <c r="F14" s="62">
        <f>'Attach C-Prelim New GF'!R14</f>
        <v>7951000</v>
      </c>
      <c r="H14" s="62">
        <f t="shared" si="0"/>
        <v>157213661</v>
      </c>
      <c r="N14" s="66"/>
      <c r="Q14" s="66"/>
    </row>
    <row r="15" spans="1:17" s="62" customFormat="1" ht="15.75">
      <c r="A15" s="62" t="s">
        <v>8</v>
      </c>
      <c r="B15" s="62">
        <v>63858110</v>
      </c>
      <c r="D15" s="62">
        <f>'Attach B-Adj to Base GF'!Q15</f>
        <v>1691400</v>
      </c>
      <c r="F15" s="62">
        <f>'Attach C-Prelim New GF'!R15</f>
        <v>3271000</v>
      </c>
      <c r="H15" s="62">
        <f t="shared" si="0"/>
        <v>68820510</v>
      </c>
      <c r="N15" s="66"/>
      <c r="Q15" s="66"/>
    </row>
    <row r="16" spans="1:17" s="62" customFormat="1" ht="15.75">
      <c r="A16" s="62" t="s">
        <v>9</v>
      </c>
      <c r="B16" s="62">
        <v>156941836.16</v>
      </c>
      <c r="D16" s="62">
        <f>'Attach B-Adj to Base GF'!Q16</f>
        <v>5157300</v>
      </c>
      <c r="F16" s="62">
        <f>'Attach C-Prelim New GF'!R16</f>
        <v>7501000</v>
      </c>
      <c r="H16" s="62">
        <f t="shared" si="0"/>
        <v>169600136.16</v>
      </c>
      <c r="N16" s="66"/>
      <c r="Q16" s="66"/>
    </row>
    <row r="17" spans="1:17" s="62" customFormat="1" ht="15.75">
      <c r="A17" s="62" t="s">
        <v>10</v>
      </c>
      <c r="B17" s="62">
        <v>112197039</v>
      </c>
      <c r="D17" s="62">
        <f>'Attach B-Adj to Base GF'!Q17</f>
        <v>3015300</v>
      </c>
      <c r="F17" s="62">
        <f>'Attach C-Prelim New GF'!R17</f>
        <v>6978000</v>
      </c>
      <c r="H17" s="62">
        <f t="shared" si="0"/>
        <v>122190339</v>
      </c>
      <c r="N17" s="66"/>
      <c r="Q17" s="66"/>
    </row>
    <row r="18" spans="1:17" s="62" customFormat="1" ht="15.75">
      <c r="A18" s="62" t="s">
        <v>11</v>
      </c>
      <c r="B18" s="62">
        <v>26018276</v>
      </c>
      <c r="D18" s="62">
        <f>'Attach B-Adj to Base GF'!Q18</f>
        <v>474400</v>
      </c>
      <c r="F18" s="62">
        <f>'Attach C-Prelim New GF'!R18</f>
        <v>1333000</v>
      </c>
      <c r="H18" s="62">
        <f t="shared" si="0"/>
        <v>27825676</v>
      </c>
      <c r="N18" s="66"/>
      <c r="Q18" s="66"/>
    </row>
    <row r="19" spans="1:17" s="62" customFormat="1" ht="15.75">
      <c r="A19" s="62" t="s">
        <v>12</v>
      </c>
      <c r="B19" s="62">
        <v>57244983</v>
      </c>
      <c r="D19" s="62">
        <f>'Attach B-Adj to Base GF'!Q19</f>
        <v>1827800</v>
      </c>
      <c r="F19" s="62">
        <f>'Attach C-Prelim New GF'!R19</f>
        <v>4990000</v>
      </c>
      <c r="H19" s="62">
        <f t="shared" si="0"/>
        <v>64062783</v>
      </c>
      <c r="N19" s="66"/>
      <c r="Q19" s="66"/>
    </row>
    <row r="20" spans="1:17" s="62" customFormat="1" ht="15.75">
      <c r="A20" s="62" t="s">
        <v>13</v>
      </c>
      <c r="B20" s="62">
        <v>154242396</v>
      </c>
      <c r="D20" s="62">
        <f>'Attach B-Adj to Base GF'!Q20</f>
        <v>5009700</v>
      </c>
      <c r="F20" s="62">
        <f>'Attach C-Prelim New GF'!R20</f>
        <v>7363000</v>
      </c>
      <c r="H20" s="62">
        <f t="shared" si="0"/>
        <v>166615096</v>
      </c>
      <c r="N20" s="66"/>
      <c r="Q20" s="66"/>
    </row>
    <row r="21" spans="1:17" s="62" customFormat="1" ht="15.75">
      <c r="A21" s="62" t="s">
        <v>14</v>
      </c>
      <c r="B21" s="62">
        <v>112335342</v>
      </c>
      <c r="D21" s="62">
        <f>'Attach B-Adj to Base GF'!Q21</f>
        <v>3205000</v>
      </c>
      <c r="F21" s="62">
        <f>'Attach C-Prelim New GF'!R21</f>
        <v>5997000</v>
      </c>
      <c r="H21" s="62">
        <f t="shared" si="0"/>
        <v>121537342</v>
      </c>
      <c r="N21" s="66"/>
      <c r="Q21" s="66"/>
    </row>
    <row r="22" spans="1:17" s="62" customFormat="1" ht="15.75">
      <c r="A22" s="62" t="s">
        <v>15</v>
      </c>
      <c r="B22" s="62">
        <v>126337437</v>
      </c>
      <c r="D22" s="62">
        <f>'Attach B-Adj to Base GF'!Q22</f>
        <v>3671700</v>
      </c>
      <c r="F22" s="62">
        <f>'Attach C-Prelim New GF'!R22</f>
        <v>6393000</v>
      </c>
      <c r="H22" s="62">
        <f t="shared" si="0"/>
        <v>136402137</v>
      </c>
      <c r="N22" s="66"/>
      <c r="Q22" s="66"/>
    </row>
    <row r="23" spans="1:17" s="62" customFormat="1" ht="15.75">
      <c r="A23" s="62" t="s">
        <v>16</v>
      </c>
      <c r="B23" s="62">
        <v>86861208</v>
      </c>
      <c r="D23" s="62">
        <f>'Attach B-Adj to Base GF'!Q23</f>
        <v>2636200</v>
      </c>
      <c r="F23" s="62">
        <f>'Attach C-Prelim New GF'!R23</f>
        <v>5421000</v>
      </c>
      <c r="H23" s="62">
        <f t="shared" si="0"/>
        <v>94918408</v>
      </c>
      <c r="N23" s="66"/>
      <c r="Q23" s="66"/>
    </row>
    <row r="24" spans="1:17" s="62" customFormat="1" ht="15.75">
      <c r="A24" s="62" t="s">
        <v>17</v>
      </c>
      <c r="B24" s="62">
        <v>153746796</v>
      </c>
      <c r="D24" s="62">
        <f>'Attach B-Adj to Base GF'!Q24</f>
        <v>4945800</v>
      </c>
      <c r="F24" s="62">
        <f>'Attach C-Prelim New GF'!R24</f>
        <v>7079000</v>
      </c>
      <c r="H24" s="62">
        <f t="shared" si="0"/>
        <v>165771596</v>
      </c>
      <c r="N24" s="66"/>
      <c r="Q24" s="66"/>
    </row>
    <row r="25" spans="1:17" s="62" customFormat="1" ht="15.75">
      <c r="A25" s="62" t="s">
        <v>18</v>
      </c>
      <c r="B25" s="62">
        <v>131532859</v>
      </c>
      <c r="D25" s="62">
        <f>'Attach B-Adj to Base GF'!Q25</f>
        <v>4636000</v>
      </c>
      <c r="F25" s="62">
        <f>'Attach C-Prelim New GF'!R25</f>
        <v>6541000</v>
      </c>
      <c r="H25" s="62">
        <f t="shared" si="0"/>
        <v>142709859</v>
      </c>
      <c r="N25" s="66"/>
      <c r="Q25" s="66"/>
    </row>
    <row r="26" spans="1:17" s="62" customFormat="1" ht="15.75">
      <c r="A26" s="62" t="s">
        <v>19</v>
      </c>
      <c r="B26" s="62">
        <v>124051382</v>
      </c>
      <c r="D26" s="62">
        <f>'Attach B-Adj to Base GF'!Q26</f>
        <v>4223900</v>
      </c>
      <c r="F26" s="62">
        <f>'Attach C-Prelim New GF'!R26</f>
        <v>6567000</v>
      </c>
      <c r="H26" s="62">
        <f t="shared" si="0"/>
        <v>134842282</v>
      </c>
      <c r="N26" s="66"/>
      <c r="Q26" s="66"/>
    </row>
    <row r="27" spans="1:17" s="62" customFormat="1" ht="15.75">
      <c r="A27" s="62" t="s">
        <v>20</v>
      </c>
      <c r="B27" s="62">
        <v>105471968</v>
      </c>
      <c r="D27" s="62">
        <f>'Attach B-Adj to Base GF'!Q27</f>
        <v>3927500</v>
      </c>
      <c r="F27" s="62">
        <f>'Attach C-Prelim New GF'!R27</f>
        <v>5004000</v>
      </c>
      <c r="H27" s="62">
        <f t="shared" si="0"/>
        <v>114403468</v>
      </c>
      <c r="N27" s="66"/>
      <c r="Q27" s="66"/>
    </row>
    <row r="28" spans="1:17" s="62" customFormat="1" ht="15.75">
      <c r="A28" s="62" t="s">
        <v>21</v>
      </c>
      <c r="B28" s="62">
        <v>62268552</v>
      </c>
      <c r="D28" s="62">
        <f>'Attach B-Adj to Base GF'!Q28</f>
        <v>2099000</v>
      </c>
      <c r="F28" s="62">
        <f>'Attach C-Prelim New GF'!R28</f>
        <v>5342000</v>
      </c>
      <c r="H28" s="62">
        <f t="shared" si="0"/>
        <v>69709552</v>
      </c>
      <c r="N28" s="66"/>
      <c r="Q28" s="66"/>
    </row>
    <row r="29" spans="1:17" s="62" customFormat="1" ht="15.75">
      <c r="A29" s="62" t="s">
        <v>22</v>
      </c>
      <c r="B29" s="62">
        <v>53742483</v>
      </c>
      <c r="D29" s="62">
        <f>'Attach B-Adj to Base GF'!Q29</f>
        <v>1540400</v>
      </c>
      <c r="F29" s="62">
        <f>'Attach C-Prelim New GF'!R29</f>
        <v>3285000</v>
      </c>
      <c r="H29" s="62">
        <f t="shared" si="0"/>
        <v>58567883</v>
      </c>
      <c r="N29" s="66"/>
      <c r="Q29" s="66"/>
    </row>
    <row r="30" spans="1:17" s="62" customFormat="1" ht="15.75">
      <c r="A30" s="62" t="s">
        <v>23</v>
      </c>
      <c r="B30" s="62">
        <v>52742547</v>
      </c>
      <c r="D30" s="62">
        <f>'Attach B-Adj to Base GF'!Q30</f>
        <v>1358600</v>
      </c>
      <c r="F30" s="62">
        <f>'Attach C-Prelim New GF'!R30</f>
        <v>3599000</v>
      </c>
      <c r="H30" s="62">
        <f t="shared" si="0"/>
        <v>57700147</v>
      </c>
      <c r="N30" s="66"/>
      <c r="Q30" s="66"/>
    </row>
    <row r="31" spans="1:17" s="62" customFormat="1" ht="6" customHeight="1"/>
    <row r="32" spans="1:17" s="66" customFormat="1" ht="15.75">
      <c r="A32" s="67" t="s">
        <v>24</v>
      </c>
      <c r="B32" s="67">
        <v>2189661471.1599998</v>
      </c>
      <c r="C32" s="67"/>
      <c r="D32" s="67">
        <f>SUM(D8:D30)</f>
        <v>67362100</v>
      </c>
      <c r="E32" s="67"/>
      <c r="F32" s="67">
        <f>SUM(F8:F30)</f>
        <v>126470000</v>
      </c>
      <c r="G32" s="67"/>
      <c r="H32" s="67">
        <f>SUM(H8:H30)</f>
        <v>2383493571.1599998</v>
      </c>
      <c r="I32" s="68"/>
    </row>
    <row r="33" spans="1:14" s="62" customFormat="1" ht="6" customHeight="1"/>
    <row r="34" spans="1:14" s="62" customFormat="1" ht="15.75">
      <c r="A34" s="62" t="s">
        <v>25</v>
      </c>
      <c r="B34" s="62">
        <v>89108999</v>
      </c>
      <c r="D34" s="62">
        <f>'Attach B-Adj to Base GF'!Q34</f>
        <v>3329000</v>
      </c>
      <c r="F34" s="62">
        <f>'Attach C-Prelim New GF'!R34</f>
        <v>1390000</v>
      </c>
      <c r="H34" s="62">
        <f t="shared" ref="H34:H39" si="1">SUM(B34:F34)</f>
        <v>93827999</v>
      </c>
    </row>
    <row r="35" spans="1:14" s="62" customFormat="1" ht="15.75">
      <c r="A35" s="62" t="s">
        <v>59</v>
      </c>
      <c r="B35" s="62">
        <v>884735</v>
      </c>
      <c r="F35" s="62">
        <f>'Attach C-Prelim New GF'!R35</f>
        <v>242000</v>
      </c>
      <c r="H35" s="62">
        <f t="shared" si="1"/>
        <v>1126735</v>
      </c>
    </row>
    <row r="36" spans="1:14" s="62" customFormat="1" ht="15.75">
      <c r="A36" s="62" t="s">
        <v>26</v>
      </c>
      <c r="B36" s="62">
        <v>2536619</v>
      </c>
      <c r="F36" s="62">
        <f>'Attach C-Prelim New GF'!R36</f>
        <v>128000</v>
      </c>
      <c r="H36" s="62">
        <f t="shared" si="1"/>
        <v>2664619</v>
      </c>
    </row>
    <row r="37" spans="1:14" s="62" customFormat="1" ht="15.75">
      <c r="A37" s="62" t="s">
        <v>27</v>
      </c>
      <c r="B37" s="62">
        <v>11800</v>
      </c>
      <c r="F37" s="62">
        <f>'Attach C-Prelim New GF'!R37</f>
        <v>23000</v>
      </c>
      <c r="H37" s="62">
        <f t="shared" si="1"/>
        <v>34800</v>
      </c>
    </row>
    <row r="38" spans="1:14" s="62" customFormat="1" ht="15.75">
      <c r="A38" s="62" t="s">
        <v>28</v>
      </c>
      <c r="B38" s="62">
        <v>117235376</v>
      </c>
      <c r="D38" s="62">
        <f>'Attach B-Adj to Base GF'!Q38</f>
        <v>-4428100</v>
      </c>
      <c r="F38" s="62">
        <f>'Attach C-Prelim New GF'!R38</f>
        <v>89164000</v>
      </c>
      <c r="H38" s="62">
        <f t="shared" si="1"/>
        <v>201971276</v>
      </c>
    </row>
    <row r="39" spans="1:14" s="62" customFormat="1" ht="15.75">
      <c r="A39" s="62" t="s">
        <v>38</v>
      </c>
      <c r="B39" s="62">
        <v>296316000</v>
      </c>
      <c r="F39" s="62">
        <f>'Attach C-Prelim New GF'!R39</f>
        <v>7628000</v>
      </c>
      <c r="H39" s="62">
        <f t="shared" si="1"/>
        <v>303944000</v>
      </c>
    </row>
    <row r="40" spans="1:14" s="62" customFormat="1" ht="8.4499999999999993" customHeight="1"/>
    <row r="41" spans="1:14" s="66" customFormat="1" ht="16.5" thickBot="1">
      <c r="A41" s="69" t="s">
        <v>29</v>
      </c>
      <c r="B41" s="69">
        <v>2695755000.1599998</v>
      </c>
      <c r="C41" s="69"/>
      <c r="D41" s="69">
        <f>SUM(D32:D39)</f>
        <v>66263000</v>
      </c>
      <c r="E41" s="69"/>
      <c r="F41" s="69">
        <f>SUM(F32:F39)</f>
        <v>225045000</v>
      </c>
      <c r="G41" s="69"/>
      <c r="H41" s="69">
        <f>SUM(H32:H39)</f>
        <v>2987063000.1599998</v>
      </c>
      <c r="I41" s="70"/>
    </row>
    <row r="43" spans="1:14">
      <c r="H43" s="40"/>
      <c r="I43" s="40"/>
      <c r="J43" s="40"/>
      <c r="K43" s="40"/>
      <c r="L43" s="40"/>
    </row>
    <row r="44" spans="1:14">
      <c r="I44" s="40"/>
      <c r="J44" s="40"/>
      <c r="K44" s="40"/>
      <c r="L44" s="40"/>
      <c r="N44" s="41"/>
    </row>
    <row r="45" spans="1:14">
      <c r="H45" s="40"/>
      <c r="I45" s="40"/>
      <c r="J45" s="40"/>
      <c r="K45" s="40"/>
      <c r="L45" s="40"/>
    </row>
    <row r="46" spans="1:14">
      <c r="H46" s="40"/>
      <c r="I46" s="40"/>
      <c r="J46" s="40"/>
      <c r="K46" s="40"/>
      <c r="L46" s="40"/>
    </row>
    <row r="47" spans="1:14">
      <c r="H47" s="40"/>
      <c r="I47" s="40"/>
      <c r="J47" s="40"/>
      <c r="K47" s="40"/>
      <c r="L47" s="40"/>
    </row>
    <row r="48" spans="1:14">
      <c r="H48" s="40"/>
      <c r="I48" s="40"/>
      <c r="J48" s="40"/>
      <c r="K48" s="40"/>
      <c r="L48" s="40"/>
    </row>
  </sheetData>
  <printOptions horizontalCentered="1"/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5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W19" sqref="W19"/>
    </sheetView>
  </sheetViews>
  <sheetFormatPr defaultColWidth="8.85546875" defaultRowHeight="15"/>
  <cols>
    <col min="1" max="1" width="27.140625" style="14" customWidth="1"/>
    <col min="2" max="2" width="2.7109375" style="14" customWidth="1"/>
    <col min="3" max="3" width="20.7109375" style="39" customWidth="1"/>
    <col min="4" max="5" width="2.7109375" style="39" customWidth="1"/>
    <col min="6" max="6" width="2.7109375" style="14" customWidth="1"/>
    <col min="7" max="7" width="15.7109375" style="14" customWidth="1"/>
    <col min="8" max="11" width="2.7109375" style="14" customWidth="1"/>
    <col min="12" max="12" width="20.7109375" style="14" customWidth="1"/>
    <col min="13" max="16" width="2.7109375" style="14" customWidth="1"/>
    <col min="17" max="17" width="20.7109375" style="14" customWidth="1"/>
    <col min="18" max="18" width="2.7109375" style="14" customWidth="1"/>
    <col min="19" max="19" width="13.42578125" style="40" customWidth="1"/>
    <col min="20" max="16384" width="8.85546875" style="14"/>
  </cols>
  <sheetData>
    <row r="1" spans="1:19" ht="21">
      <c r="A1" s="80" t="s">
        <v>41</v>
      </c>
      <c r="B1" s="80"/>
      <c r="C1" s="81"/>
      <c r="D1" s="81"/>
      <c r="E1" s="81"/>
      <c r="F1" s="76"/>
      <c r="G1" s="76"/>
    </row>
    <row r="2" spans="1:19" ht="18" customHeight="1">
      <c r="A2" s="80" t="s">
        <v>55</v>
      </c>
      <c r="B2" s="80"/>
      <c r="C2" s="81"/>
      <c r="D2" s="81"/>
      <c r="E2" s="81"/>
      <c r="F2" s="76"/>
      <c r="G2" s="76"/>
    </row>
    <row r="3" spans="1:19" ht="18" customHeight="1">
      <c r="A3" s="3"/>
      <c r="B3" s="3"/>
    </row>
    <row r="4" spans="1:19" s="62" customFormat="1" ht="15.75">
      <c r="C4" s="97">
        <v>-1</v>
      </c>
      <c r="D4" s="97"/>
      <c r="E4" s="97"/>
      <c r="F4" s="60"/>
      <c r="G4" s="97">
        <v>-2</v>
      </c>
      <c r="H4" s="97"/>
      <c r="I4" s="97"/>
      <c r="J4" s="97"/>
      <c r="K4" s="97"/>
      <c r="L4" s="97">
        <v>-3</v>
      </c>
      <c r="M4" s="60"/>
      <c r="N4" s="60"/>
      <c r="O4" s="60"/>
      <c r="P4" s="60"/>
      <c r="Q4" s="97">
        <v>-4</v>
      </c>
      <c r="S4" s="82"/>
    </row>
    <row r="5" spans="1:19" s="62" customFormat="1" ht="39.950000000000003" customHeight="1" thickBot="1">
      <c r="A5" s="83"/>
      <c r="B5" s="84" t="s">
        <v>48</v>
      </c>
      <c r="C5" s="84"/>
      <c r="D5" s="84"/>
      <c r="E5" s="103"/>
      <c r="F5" s="84" t="s">
        <v>0</v>
      </c>
      <c r="G5" s="84"/>
      <c r="H5" s="84"/>
      <c r="I5" s="102">
        <v>1</v>
      </c>
      <c r="J5" s="102"/>
      <c r="K5" s="84" t="s">
        <v>64</v>
      </c>
      <c r="L5" s="84"/>
      <c r="M5" s="84"/>
      <c r="N5" s="102">
        <v>2</v>
      </c>
      <c r="O5" s="102"/>
      <c r="P5" s="84" t="s">
        <v>71</v>
      </c>
      <c r="Q5" s="84"/>
      <c r="R5" s="84"/>
      <c r="S5" s="82"/>
    </row>
    <row r="6" spans="1:19" s="62" customFormat="1" ht="15.75">
      <c r="A6" s="83"/>
      <c r="B6" s="83"/>
      <c r="C6" s="85"/>
      <c r="D6" s="85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71" t="s">
        <v>45</v>
      </c>
      <c r="S6" s="82"/>
    </row>
    <row r="7" spans="1:19" s="62" customFormat="1" ht="6" customHeight="1">
      <c r="A7" s="83"/>
      <c r="B7" s="83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S7" s="82"/>
    </row>
    <row r="8" spans="1:19" s="62" customFormat="1" ht="15.75">
      <c r="A8" s="62" t="s">
        <v>1</v>
      </c>
      <c r="C8" s="121">
        <v>1359000</v>
      </c>
      <c r="D8" s="88"/>
      <c r="E8" s="88"/>
      <c r="F8" s="88"/>
      <c r="G8" s="88"/>
      <c r="H8" s="88"/>
      <c r="I8" s="88"/>
      <c r="J8" s="88"/>
      <c r="K8" s="88"/>
      <c r="L8" s="121">
        <v>27900</v>
      </c>
      <c r="M8" s="88"/>
      <c r="N8" s="88"/>
      <c r="O8" s="88"/>
      <c r="P8" s="88"/>
      <c r="Q8" s="121">
        <f t="shared" ref="Q8:Q30" si="0">SUM(C8:L8)</f>
        <v>1386900</v>
      </c>
      <c r="S8" s="89"/>
    </row>
    <row r="9" spans="1:19" s="62" customFormat="1" ht="15.75">
      <c r="A9" s="62" t="s">
        <v>2</v>
      </c>
      <c r="C9" s="90">
        <v>1188000</v>
      </c>
      <c r="D9" s="90"/>
      <c r="E9" s="90"/>
      <c r="F9" s="90"/>
      <c r="G9" s="90">
        <f>ROUND(490357,-2)</f>
        <v>490400</v>
      </c>
      <c r="H9" s="90"/>
      <c r="I9" s="90"/>
      <c r="J9" s="90"/>
      <c r="K9" s="90"/>
      <c r="L9" s="90">
        <v>37300</v>
      </c>
      <c r="M9" s="90"/>
      <c r="N9" s="90"/>
      <c r="O9" s="90"/>
      <c r="P9" s="90"/>
      <c r="Q9" s="90">
        <f t="shared" si="0"/>
        <v>1715700</v>
      </c>
      <c r="S9" s="82"/>
    </row>
    <row r="10" spans="1:19" s="62" customFormat="1" ht="15.75">
      <c r="A10" s="62" t="s">
        <v>3</v>
      </c>
      <c r="C10" s="90">
        <v>2586000</v>
      </c>
      <c r="D10" s="90"/>
      <c r="E10" s="90"/>
      <c r="F10" s="90"/>
      <c r="G10" s="90"/>
      <c r="H10" s="90"/>
      <c r="I10" s="90"/>
      <c r="J10" s="90"/>
      <c r="K10" s="90"/>
      <c r="L10" s="90">
        <v>40200</v>
      </c>
      <c r="M10" s="90"/>
      <c r="N10" s="90"/>
      <c r="O10" s="90"/>
      <c r="P10" s="90"/>
      <c r="Q10" s="90">
        <f t="shared" si="0"/>
        <v>2626200</v>
      </c>
      <c r="S10" s="82"/>
    </row>
    <row r="11" spans="1:19" s="62" customFormat="1" ht="15.75">
      <c r="A11" s="62" t="s">
        <v>4</v>
      </c>
      <c r="C11" s="90">
        <v>1718000</v>
      </c>
      <c r="D11" s="90"/>
      <c r="E11" s="90"/>
      <c r="F11" s="90"/>
      <c r="G11" s="90"/>
      <c r="H11" s="90"/>
      <c r="I11" s="90"/>
      <c r="J11" s="90"/>
      <c r="K11" s="90"/>
      <c r="L11" s="90">
        <v>51200</v>
      </c>
      <c r="M11" s="90"/>
      <c r="N11" s="90"/>
      <c r="O11" s="90"/>
      <c r="P11" s="90"/>
      <c r="Q11" s="90">
        <f t="shared" si="0"/>
        <v>1769200</v>
      </c>
      <c r="S11" s="82"/>
    </row>
    <row r="12" spans="1:19" s="62" customFormat="1" ht="16.5" thickBot="1">
      <c r="A12" s="62" t="s">
        <v>5</v>
      </c>
      <c r="C12" s="90">
        <v>2330000</v>
      </c>
      <c r="D12" s="90"/>
      <c r="E12" s="90"/>
      <c r="F12" s="90"/>
      <c r="G12" s="90"/>
      <c r="H12" s="90"/>
      <c r="I12" s="90"/>
      <c r="J12" s="90"/>
      <c r="K12" s="90"/>
      <c r="L12" s="90">
        <v>37800</v>
      </c>
      <c r="M12" s="90"/>
      <c r="N12" s="90"/>
      <c r="O12" s="90"/>
      <c r="P12" s="90"/>
      <c r="Q12" s="90">
        <f t="shared" si="0"/>
        <v>2367800</v>
      </c>
      <c r="S12" s="82"/>
    </row>
    <row r="13" spans="1:19" s="62" customFormat="1" ht="21.75" thickBot="1">
      <c r="A13" s="99" t="s">
        <v>6</v>
      </c>
      <c r="B13" s="100"/>
      <c r="C13" s="104">
        <v>3159000</v>
      </c>
      <c r="D13" s="104"/>
      <c r="E13" s="104"/>
      <c r="F13" s="104"/>
      <c r="G13" s="104"/>
      <c r="H13" s="104"/>
      <c r="I13" s="104"/>
      <c r="J13" s="104"/>
      <c r="K13" s="104"/>
      <c r="L13" s="104">
        <v>48700</v>
      </c>
      <c r="M13" s="104"/>
      <c r="N13" s="104"/>
      <c r="O13" s="104"/>
      <c r="P13" s="104"/>
      <c r="Q13" s="105">
        <f t="shared" si="0"/>
        <v>3207700</v>
      </c>
      <c r="S13" s="82"/>
    </row>
    <row r="14" spans="1:19" s="62" customFormat="1" ht="15.75">
      <c r="A14" s="62" t="s">
        <v>7</v>
      </c>
      <c r="C14" s="90">
        <v>4768000</v>
      </c>
      <c r="D14" s="90"/>
      <c r="E14" s="90"/>
      <c r="F14" s="90"/>
      <c r="G14" s="90">
        <v>25000</v>
      </c>
      <c r="H14" s="90"/>
      <c r="I14" s="90"/>
      <c r="J14" s="90"/>
      <c r="K14" s="90"/>
      <c r="L14" s="90">
        <v>75600</v>
      </c>
      <c r="M14" s="90"/>
      <c r="N14" s="90"/>
      <c r="O14" s="90"/>
      <c r="P14" s="90"/>
      <c r="Q14" s="90">
        <f t="shared" si="0"/>
        <v>4868600</v>
      </c>
      <c r="S14" s="82"/>
    </row>
    <row r="15" spans="1:19" s="62" customFormat="1" ht="15.75">
      <c r="A15" s="62" t="s">
        <v>8</v>
      </c>
      <c r="C15" s="90">
        <v>1661000</v>
      </c>
      <c r="D15" s="90"/>
      <c r="E15" s="90"/>
      <c r="F15" s="90"/>
      <c r="G15" s="90"/>
      <c r="H15" s="90"/>
      <c r="I15" s="90"/>
      <c r="J15" s="90"/>
      <c r="K15" s="90"/>
      <c r="L15" s="90">
        <v>30400</v>
      </c>
      <c r="M15" s="90"/>
      <c r="N15" s="90"/>
      <c r="O15" s="90"/>
      <c r="P15" s="90"/>
      <c r="Q15" s="90">
        <f t="shared" si="0"/>
        <v>1691400</v>
      </c>
      <c r="S15" s="82"/>
    </row>
    <row r="16" spans="1:19" s="62" customFormat="1" ht="15.75">
      <c r="A16" s="62" t="s">
        <v>9</v>
      </c>
      <c r="C16" s="90">
        <v>5097000</v>
      </c>
      <c r="D16" s="90"/>
      <c r="E16" s="90"/>
      <c r="F16" s="90"/>
      <c r="G16" s="90"/>
      <c r="H16" s="90"/>
      <c r="I16" s="90"/>
      <c r="J16" s="90"/>
      <c r="K16" s="90"/>
      <c r="L16" s="90">
        <v>60300</v>
      </c>
      <c r="M16" s="90"/>
      <c r="N16" s="90"/>
      <c r="O16" s="90"/>
      <c r="P16" s="90"/>
      <c r="Q16" s="90">
        <f t="shared" si="0"/>
        <v>5157300</v>
      </c>
      <c r="S16" s="82"/>
    </row>
    <row r="17" spans="1:19" s="62" customFormat="1" ht="15.75">
      <c r="A17" s="62" t="s">
        <v>10</v>
      </c>
      <c r="C17" s="90">
        <v>2967000</v>
      </c>
      <c r="D17" s="90"/>
      <c r="E17" s="90"/>
      <c r="F17" s="90"/>
      <c r="G17" s="90"/>
      <c r="H17" s="90"/>
      <c r="I17" s="90"/>
      <c r="J17" s="90"/>
      <c r="K17" s="90"/>
      <c r="L17" s="90">
        <v>48300</v>
      </c>
      <c r="M17" s="90"/>
      <c r="N17" s="90"/>
      <c r="O17" s="90"/>
      <c r="P17" s="90"/>
      <c r="Q17" s="90">
        <f t="shared" si="0"/>
        <v>3015300</v>
      </c>
      <c r="S17" s="82"/>
    </row>
    <row r="18" spans="1:19" s="62" customFormat="1" ht="15.75">
      <c r="A18" s="62" t="s">
        <v>11</v>
      </c>
      <c r="C18" s="90">
        <v>452000</v>
      </c>
      <c r="D18" s="90"/>
      <c r="E18" s="90"/>
      <c r="F18" s="90"/>
      <c r="G18" s="90"/>
      <c r="H18" s="90"/>
      <c r="I18" s="90"/>
      <c r="J18" s="90"/>
      <c r="K18" s="90"/>
      <c r="L18" s="90">
        <v>22400</v>
      </c>
      <c r="M18" s="90"/>
      <c r="N18" s="90"/>
      <c r="O18" s="90"/>
      <c r="P18" s="90"/>
      <c r="Q18" s="90">
        <f t="shared" si="0"/>
        <v>474400</v>
      </c>
      <c r="S18" s="82"/>
    </row>
    <row r="19" spans="1:19" s="62" customFormat="1" ht="15.75">
      <c r="A19" s="62" t="s">
        <v>12</v>
      </c>
      <c r="C19" s="90">
        <v>1175000</v>
      </c>
      <c r="D19" s="90"/>
      <c r="E19" s="90"/>
      <c r="F19" s="90"/>
      <c r="G19" s="90">
        <f>ROUND(621651,-2)</f>
        <v>621700</v>
      </c>
      <c r="H19" s="90"/>
      <c r="I19" s="90"/>
      <c r="J19" s="90"/>
      <c r="K19" s="90"/>
      <c r="L19" s="90">
        <v>31100</v>
      </c>
      <c r="M19" s="90"/>
      <c r="N19" s="90"/>
      <c r="O19" s="90"/>
      <c r="P19" s="90"/>
      <c r="Q19" s="90">
        <f t="shared" si="0"/>
        <v>1827800</v>
      </c>
      <c r="S19" s="82"/>
    </row>
    <row r="20" spans="1:19" s="62" customFormat="1" ht="15.75">
      <c r="A20" s="62" t="s">
        <v>13</v>
      </c>
      <c r="C20" s="90">
        <v>4959000</v>
      </c>
      <c r="D20" s="90"/>
      <c r="E20" s="90"/>
      <c r="F20" s="90"/>
      <c r="G20" s="90"/>
      <c r="H20" s="90"/>
      <c r="I20" s="90"/>
      <c r="J20" s="90"/>
      <c r="K20" s="90"/>
      <c r="L20" s="90">
        <v>50700</v>
      </c>
      <c r="M20" s="90"/>
      <c r="N20" s="90"/>
      <c r="O20" s="90"/>
      <c r="P20" s="90"/>
      <c r="Q20" s="90">
        <f t="shared" si="0"/>
        <v>5009700</v>
      </c>
      <c r="S20" s="82"/>
    </row>
    <row r="21" spans="1:19" s="62" customFormat="1" ht="15.75">
      <c r="A21" s="62" t="s">
        <v>14</v>
      </c>
      <c r="C21" s="90">
        <v>3166000</v>
      </c>
      <c r="D21" s="90"/>
      <c r="E21" s="90"/>
      <c r="F21" s="90"/>
      <c r="G21" s="90"/>
      <c r="H21" s="90"/>
      <c r="I21" s="90"/>
      <c r="J21" s="90"/>
      <c r="K21" s="90"/>
      <c r="L21" s="90">
        <v>39000</v>
      </c>
      <c r="M21" s="90"/>
      <c r="N21" s="90"/>
      <c r="O21" s="90"/>
      <c r="P21" s="90"/>
      <c r="Q21" s="90">
        <f t="shared" si="0"/>
        <v>3205000</v>
      </c>
      <c r="S21" s="82"/>
    </row>
    <row r="22" spans="1:19" s="62" customFormat="1" ht="15.75">
      <c r="A22" s="62" t="s">
        <v>15</v>
      </c>
      <c r="C22" s="90">
        <v>3614000</v>
      </c>
      <c r="D22" s="90"/>
      <c r="E22" s="90"/>
      <c r="F22" s="90"/>
      <c r="G22" s="90"/>
      <c r="H22" s="90"/>
      <c r="I22" s="90"/>
      <c r="J22" s="90"/>
      <c r="K22" s="90"/>
      <c r="L22" s="90">
        <v>57700</v>
      </c>
      <c r="M22" s="90"/>
      <c r="N22" s="90"/>
      <c r="O22" s="90"/>
      <c r="P22" s="90"/>
      <c r="Q22" s="90">
        <f t="shared" si="0"/>
        <v>3671700</v>
      </c>
      <c r="S22" s="82"/>
    </row>
    <row r="23" spans="1:19" s="62" customFormat="1" ht="15.75">
      <c r="A23" s="62" t="s">
        <v>16</v>
      </c>
      <c r="C23" s="90">
        <v>2599000</v>
      </c>
      <c r="D23" s="90"/>
      <c r="E23" s="90"/>
      <c r="F23" s="90"/>
      <c r="G23" s="90"/>
      <c r="H23" s="90"/>
      <c r="I23" s="90"/>
      <c r="J23" s="90"/>
      <c r="K23" s="90"/>
      <c r="L23" s="90">
        <v>37200</v>
      </c>
      <c r="M23" s="90"/>
      <c r="N23" s="90"/>
      <c r="O23" s="90"/>
      <c r="P23" s="90"/>
      <c r="Q23" s="90">
        <f t="shared" si="0"/>
        <v>2636200</v>
      </c>
      <c r="S23" s="82"/>
    </row>
    <row r="24" spans="1:19" s="62" customFormat="1" ht="15.75">
      <c r="A24" s="62" t="s">
        <v>17</v>
      </c>
      <c r="C24" s="90">
        <v>4899000</v>
      </c>
      <c r="D24" s="90"/>
      <c r="E24" s="90"/>
      <c r="F24" s="90"/>
      <c r="G24" s="90"/>
      <c r="H24" s="90"/>
      <c r="I24" s="90"/>
      <c r="J24" s="90"/>
      <c r="K24" s="90"/>
      <c r="L24" s="90">
        <v>46800</v>
      </c>
      <c r="M24" s="90"/>
      <c r="N24" s="90"/>
      <c r="O24" s="90"/>
      <c r="P24" s="90"/>
      <c r="Q24" s="90">
        <f t="shared" si="0"/>
        <v>4945800</v>
      </c>
      <c r="S24" s="82"/>
    </row>
    <row r="25" spans="1:19" s="62" customFormat="1" ht="15.75">
      <c r="A25" s="62" t="s">
        <v>18</v>
      </c>
      <c r="C25" s="90">
        <v>4555000</v>
      </c>
      <c r="D25" s="90"/>
      <c r="E25" s="90"/>
      <c r="F25" s="90"/>
      <c r="G25" s="90"/>
      <c r="H25" s="90"/>
      <c r="I25" s="90"/>
      <c r="J25" s="90"/>
      <c r="K25" s="90"/>
      <c r="L25" s="90">
        <v>81000</v>
      </c>
      <c r="M25" s="90"/>
      <c r="N25" s="90"/>
      <c r="O25" s="90"/>
      <c r="P25" s="90"/>
      <c r="Q25" s="90">
        <f t="shared" si="0"/>
        <v>4636000</v>
      </c>
      <c r="S25" s="82"/>
    </row>
    <row r="26" spans="1:19" s="62" customFormat="1" ht="15.75">
      <c r="A26" s="62" t="s">
        <v>19</v>
      </c>
      <c r="C26" s="90">
        <v>4166000</v>
      </c>
      <c r="D26" s="90"/>
      <c r="E26" s="90"/>
      <c r="F26" s="90"/>
      <c r="G26" s="90"/>
      <c r="H26" s="90"/>
      <c r="I26" s="90"/>
      <c r="J26" s="90"/>
      <c r="K26" s="90"/>
      <c r="L26" s="90">
        <v>57900</v>
      </c>
      <c r="M26" s="90"/>
      <c r="N26" s="90"/>
      <c r="O26" s="90"/>
      <c r="P26" s="90"/>
      <c r="Q26" s="90">
        <f t="shared" si="0"/>
        <v>4223900</v>
      </c>
      <c r="S26" s="82"/>
    </row>
    <row r="27" spans="1:19" s="62" customFormat="1" ht="15.75">
      <c r="A27" s="62" t="s">
        <v>20</v>
      </c>
      <c r="C27" s="90">
        <v>3888000</v>
      </c>
      <c r="D27" s="90"/>
      <c r="E27" s="90"/>
      <c r="F27" s="90"/>
      <c r="G27" s="90"/>
      <c r="H27" s="90"/>
      <c r="I27" s="90"/>
      <c r="J27" s="90"/>
      <c r="K27" s="90"/>
      <c r="L27" s="90">
        <v>39500</v>
      </c>
      <c r="M27" s="90"/>
      <c r="N27" s="90"/>
      <c r="O27" s="90"/>
      <c r="P27" s="90"/>
      <c r="Q27" s="90">
        <f t="shared" si="0"/>
        <v>3927500</v>
      </c>
      <c r="S27" s="82"/>
    </row>
    <row r="28" spans="1:19" s="62" customFormat="1" ht="15.75">
      <c r="A28" s="62" t="s">
        <v>21</v>
      </c>
      <c r="C28" s="90">
        <v>1772000</v>
      </c>
      <c r="D28" s="90"/>
      <c r="E28" s="90"/>
      <c r="F28" s="90"/>
      <c r="G28" s="90">
        <v>300000</v>
      </c>
      <c r="H28" s="90"/>
      <c r="I28" s="90"/>
      <c r="J28" s="90"/>
      <c r="K28" s="90"/>
      <c r="L28" s="90">
        <v>27000</v>
      </c>
      <c r="M28" s="90"/>
      <c r="N28" s="90"/>
      <c r="O28" s="90"/>
      <c r="P28" s="90"/>
      <c r="Q28" s="90">
        <f t="shared" si="0"/>
        <v>2099000</v>
      </c>
      <c r="S28" s="82"/>
    </row>
    <row r="29" spans="1:19" s="62" customFormat="1" ht="15.75">
      <c r="A29" s="62" t="s">
        <v>22</v>
      </c>
      <c r="C29" s="90">
        <v>1513000</v>
      </c>
      <c r="D29" s="90"/>
      <c r="E29" s="90"/>
      <c r="F29" s="90"/>
      <c r="G29" s="90"/>
      <c r="H29" s="90"/>
      <c r="I29" s="90"/>
      <c r="J29" s="90"/>
      <c r="K29" s="90"/>
      <c r="L29" s="90">
        <v>27400</v>
      </c>
      <c r="M29" s="90"/>
      <c r="N29" s="90"/>
      <c r="O29" s="90"/>
      <c r="P29" s="90"/>
      <c r="Q29" s="90">
        <f t="shared" si="0"/>
        <v>1540400</v>
      </c>
      <c r="S29" s="82"/>
    </row>
    <row r="30" spans="1:19" s="62" customFormat="1" ht="15.75">
      <c r="A30" s="62" t="s">
        <v>23</v>
      </c>
      <c r="C30" s="90">
        <v>1334000</v>
      </c>
      <c r="D30" s="90"/>
      <c r="E30" s="90"/>
      <c r="F30" s="90"/>
      <c r="G30" s="90"/>
      <c r="H30" s="90"/>
      <c r="I30" s="90"/>
      <c r="J30" s="90"/>
      <c r="K30" s="90"/>
      <c r="L30" s="90">
        <v>24600</v>
      </c>
      <c r="M30" s="90"/>
      <c r="N30" s="90"/>
      <c r="O30" s="90"/>
      <c r="P30" s="90"/>
      <c r="Q30" s="90">
        <f t="shared" si="0"/>
        <v>1358600</v>
      </c>
      <c r="S30" s="82"/>
    </row>
    <row r="31" spans="1:19" s="62" customFormat="1" ht="6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S31" s="82"/>
    </row>
    <row r="32" spans="1:19" s="62" customFormat="1" ht="15.75">
      <c r="A32" s="91" t="s">
        <v>24</v>
      </c>
      <c r="B32" s="91"/>
      <c r="C32" s="92">
        <f>SUM(C8:C31)</f>
        <v>64925000</v>
      </c>
      <c r="D32" s="92"/>
      <c r="E32" s="92"/>
      <c r="F32" s="92"/>
      <c r="G32" s="92">
        <f>SUM(G8:G30)</f>
        <v>1437100</v>
      </c>
      <c r="H32" s="92"/>
      <c r="I32" s="92"/>
      <c r="J32" s="92"/>
      <c r="K32" s="92"/>
      <c r="L32" s="92">
        <f>SUM(L8:L30)</f>
        <v>1000000</v>
      </c>
      <c r="M32" s="92"/>
      <c r="N32" s="92"/>
      <c r="O32" s="92"/>
      <c r="P32" s="92"/>
      <c r="Q32" s="122">
        <f>SUM(Q8:Q30)</f>
        <v>67362100</v>
      </c>
      <c r="S32" s="82"/>
    </row>
    <row r="33" spans="1:19" s="62" customFormat="1" ht="6" customHeight="1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S33" s="82"/>
    </row>
    <row r="34" spans="1:19" s="62" customFormat="1" ht="15.75">
      <c r="A34" s="62" t="s">
        <v>25</v>
      </c>
      <c r="C34" s="90">
        <v>1338000</v>
      </c>
      <c r="D34" s="90"/>
      <c r="E34" s="90"/>
      <c r="F34" s="90"/>
      <c r="G34" s="90">
        <f>ROUND(1003000+266761+50000+141000+84000+407950+10452+7252+20422,-3)</f>
        <v>1991000</v>
      </c>
      <c r="H34" s="90"/>
      <c r="I34" s="90"/>
      <c r="J34" s="90"/>
      <c r="K34" s="90"/>
      <c r="L34" s="90"/>
      <c r="M34" s="90"/>
      <c r="N34" s="90"/>
      <c r="O34" s="90"/>
      <c r="P34" s="90"/>
      <c r="Q34" s="90">
        <f>SUM(C34:L34)</f>
        <v>3329000</v>
      </c>
      <c r="S34" s="82"/>
    </row>
    <row r="35" spans="1:19" s="62" customFormat="1" ht="15.75">
      <c r="A35" s="62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S35" s="82"/>
    </row>
    <row r="36" spans="1:19" s="62" customFormat="1" ht="15.75">
      <c r="A36" s="62" t="s">
        <v>26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S36" s="82"/>
    </row>
    <row r="37" spans="1:19" s="62" customFormat="1" ht="15.75">
      <c r="A37" s="62" t="s">
        <v>27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S37" s="82"/>
    </row>
    <row r="38" spans="1:19" s="62" customFormat="1" ht="15.75">
      <c r="A38" s="62" t="s">
        <v>28</v>
      </c>
      <c r="C38" s="90"/>
      <c r="D38" s="90"/>
      <c r="E38" s="90"/>
      <c r="F38" s="90"/>
      <c r="G38" s="90">
        <f>-G14-G28-G34-G9-G19</f>
        <v>-3428100</v>
      </c>
      <c r="H38" s="90"/>
      <c r="I38" s="90"/>
      <c r="J38" s="90"/>
      <c r="K38" s="90"/>
      <c r="L38" s="90">
        <v>-1000000</v>
      </c>
      <c r="M38" s="90"/>
      <c r="N38" s="90"/>
      <c r="O38" s="90"/>
      <c r="P38" s="90"/>
      <c r="Q38" s="90">
        <f t="shared" ref="Q38" si="1">SUM(C38:L38)</f>
        <v>-4428100</v>
      </c>
      <c r="S38" s="82"/>
    </row>
    <row r="39" spans="1:19" s="62" customFormat="1" ht="15.75">
      <c r="A39" s="62" t="s">
        <v>38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S39" s="82"/>
    </row>
    <row r="40" spans="1:19" s="62" customFormat="1" ht="9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S40" s="82"/>
    </row>
    <row r="41" spans="1:19" s="62" customFormat="1" ht="16.5" thickBot="1">
      <c r="A41" s="93" t="s">
        <v>29</v>
      </c>
      <c r="B41" s="93"/>
      <c r="C41" s="94">
        <f>SUM(C32:C38)</f>
        <v>66263000</v>
      </c>
      <c r="D41" s="94"/>
      <c r="E41" s="94"/>
      <c r="F41" s="94"/>
      <c r="G41" s="94">
        <f>SUM(G32:G39)</f>
        <v>0</v>
      </c>
      <c r="H41" s="94"/>
      <c r="I41" s="94"/>
      <c r="J41" s="94"/>
      <c r="K41" s="94"/>
      <c r="L41" s="94">
        <f>SUM(L32:L39)</f>
        <v>0</v>
      </c>
      <c r="M41" s="94"/>
      <c r="N41" s="94"/>
      <c r="O41" s="94"/>
      <c r="P41" s="94"/>
      <c r="Q41" s="94">
        <f>SUM(Q32:Q40)</f>
        <v>66263000</v>
      </c>
      <c r="S41" s="82"/>
    </row>
    <row r="42" spans="1:19" s="62" customFormat="1" ht="9" customHeight="1">
      <c r="C42" s="61"/>
      <c r="D42" s="61"/>
      <c r="E42" s="61"/>
      <c r="S42" s="82"/>
    </row>
    <row r="43" spans="1:19" s="62" customFormat="1" ht="28.15" customHeight="1">
      <c r="A43" s="95" t="s">
        <v>82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S43" s="82"/>
    </row>
    <row r="44" spans="1:19" s="62" customFormat="1" ht="15.75">
      <c r="A44" s="95" t="s">
        <v>83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S44" s="82"/>
    </row>
    <row r="45" spans="1:19" s="62" customFormat="1" ht="15.75">
      <c r="C45" s="61"/>
      <c r="D45" s="61"/>
      <c r="E45" s="61"/>
      <c r="S45" s="82"/>
    </row>
  </sheetData>
  <mergeCells count="6">
    <mergeCell ref="A44:Q44"/>
    <mergeCell ref="A43:Q43"/>
    <mergeCell ref="B5:D5"/>
    <mergeCell ref="F5:H5"/>
    <mergeCell ref="K5:M5"/>
    <mergeCell ref="P5:R5"/>
  </mergeCells>
  <printOptions horizontalCentered="1"/>
  <pageMargins left="0.75" right="0.5" top="0.75" bottom="0.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9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7" sqref="H7"/>
    </sheetView>
  </sheetViews>
  <sheetFormatPr defaultColWidth="8.85546875" defaultRowHeight="15"/>
  <cols>
    <col min="1" max="1" width="34" style="14" customWidth="1"/>
    <col min="2" max="4" width="15.7109375" style="14" customWidth="1"/>
    <col min="5" max="5" width="2.7109375" style="14" customWidth="1"/>
    <col min="6" max="6" width="15.7109375" style="14" customWidth="1"/>
    <col min="7" max="7" width="2.7109375" style="14" customWidth="1"/>
    <col min="8" max="8" width="15.7109375" style="14" customWidth="1"/>
    <col min="9" max="9" width="2.7109375" style="14" customWidth="1"/>
    <col min="10" max="10" width="15.7109375" style="14" customWidth="1"/>
    <col min="11" max="11" width="2.7109375" style="14" customWidth="1"/>
    <col min="12" max="12" width="15.7109375" style="14" customWidth="1"/>
    <col min="13" max="13" width="2.7109375" style="14" customWidth="1"/>
    <col min="14" max="14" width="15.7109375" style="14" customWidth="1"/>
    <col min="15" max="15" width="2.7109375" style="14" customWidth="1"/>
    <col min="16" max="16" width="16.7109375" style="14" customWidth="1"/>
    <col min="17" max="17" width="2.7109375" style="14" customWidth="1"/>
    <col min="18" max="18" width="15.7109375" style="14" customWidth="1"/>
    <col min="19" max="19" width="2.7109375" style="14" customWidth="1"/>
    <col min="20" max="16384" width="8.85546875" style="14"/>
  </cols>
  <sheetData>
    <row r="1" spans="1:18" ht="18.75">
      <c r="A1" s="9" t="s">
        <v>43</v>
      </c>
      <c r="B1" s="74"/>
      <c r="C1" s="74"/>
      <c r="D1" s="74"/>
      <c r="E1" s="74"/>
      <c r="F1" s="74"/>
    </row>
    <row r="2" spans="1:18" ht="18.75">
      <c r="A2" s="9" t="s">
        <v>56</v>
      </c>
      <c r="B2" s="74"/>
      <c r="C2" s="74"/>
      <c r="D2" s="74"/>
      <c r="E2" s="74"/>
      <c r="F2" s="74"/>
    </row>
    <row r="3" spans="1:18" ht="15" customHeight="1">
      <c r="A3" s="75"/>
      <c r="B3" s="76"/>
      <c r="C3" s="76"/>
      <c r="D3" s="76"/>
    </row>
    <row r="4" spans="1:18">
      <c r="B4" s="106">
        <v>-1</v>
      </c>
      <c r="C4" s="106">
        <v>-2</v>
      </c>
      <c r="D4" s="106">
        <v>-3</v>
      </c>
      <c r="E4" s="23"/>
      <c r="F4" s="106"/>
      <c r="G4" s="106"/>
      <c r="H4" s="106">
        <v>-4</v>
      </c>
      <c r="I4" s="106"/>
      <c r="J4" s="106">
        <v>-5</v>
      </c>
      <c r="K4" s="106"/>
      <c r="L4" s="106">
        <v>-6</v>
      </c>
      <c r="M4" s="106"/>
      <c r="N4" s="106">
        <v>-7</v>
      </c>
      <c r="O4" s="106"/>
      <c r="P4" s="106">
        <v>-8</v>
      </c>
      <c r="Q4" s="23"/>
      <c r="R4" s="106">
        <v>-9</v>
      </c>
    </row>
    <row r="5" spans="1:18" s="8" customFormat="1" ht="15.75" thickBot="1">
      <c r="B5" s="56" t="s">
        <v>32</v>
      </c>
      <c r="C5" s="56"/>
      <c r="D5" s="56"/>
      <c r="E5" s="18"/>
      <c r="F5" s="5"/>
      <c r="G5" s="30"/>
      <c r="H5" s="57" t="s">
        <v>33</v>
      </c>
      <c r="I5" s="57"/>
      <c r="J5" s="57"/>
      <c r="K5" s="57"/>
      <c r="L5" s="57"/>
      <c r="M5" s="57"/>
      <c r="N5" s="57"/>
      <c r="O5" s="38"/>
      <c r="P5" s="21" t="s">
        <v>36</v>
      </c>
    </row>
    <row r="6" spans="1:18" ht="69.95" customHeight="1">
      <c r="B6" s="113" t="s">
        <v>30</v>
      </c>
      <c r="C6" s="113" t="s">
        <v>31</v>
      </c>
      <c r="D6" s="113" t="s">
        <v>84</v>
      </c>
      <c r="E6" s="15"/>
      <c r="F6" s="114" t="s">
        <v>58</v>
      </c>
      <c r="G6" s="15"/>
      <c r="H6" s="114" t="s">
        <v>49</v>
      </c>
      <c r="I6" s="15"/>
      <c r="J6" s="115" t="s">
        <v>50</v>
      </c>
      <c r="K6" s="107"/>
      <c r="L6" s="115" t="s">
        <v>60</v>
      </c>
      <c r="M6" s="15"/>
      <c r="N6" s="115" t="s">
        <v>63</v>
      </c>
      <c r="O6" s="15"/>
      <c r="P6" s="115" t="s">
        <v>85</v>
      </c>
      <c r="Q6" s="107"/>
      <c r="R6" s="115" t="s">
        <v>52</v>
      </c>
    </row>
    <row r="7" spans="1:18">
      <c r="B7" s="13"/>
      <c r="C7" s="13"/>
      <c r="D7" s="13"/>
      <c r="E7" s="13"/>
      <c r="G7" s="28"/>
      <c r="H7" s="35" t="s">
        <v>53</v>
      </c>
      <c r="I7" s="28"/>
      <c r="J7" s="13"/>
      <c r="K7" s="13"/>
      <c r="L7" s="13"/>
      <c r="M7" s="13"/>
      <c r="N7" s="44"/>
      <c r="O7" s="44"/>
      <c r="R7" s="35" t="s">
        <v>44</v>
      </c>
    </row>
    <row r="8" spans="1:18">
      <c r="A8" s="14" t="s">
        <v>1</v>
      </c>
      <c r="B8" s="29">
        <v>235000</v>
      </c>
      <c r="C8" s="116">
        <v>0</v>
      </c>
      <c r="D8" s="116"/>
      <c r="E8" s="116"/>
      <c r="F8" s="117">
        <v>310</v>
      </c>
      <c r="G8" s="118"/>
      <c r="H8" s="119">
        <f>ROUND(5664*F8,-3)</f>
        <v>1756000</v>
      </c>
      <c r="I8" s="116"/>
      <c r="J8" s="29">
        <v>718000</v>
      </c>
      <c r="K8" s="116"/>
      <c r="L8" s="116"/>
      <c r="M8" s="116"/>
      <c r="N8" s="29">
        <v>810000</v>
      </c>
      <c r="O8" s="116"/>
      <c r="P8" s="29">
        <v>78000</v>
      </c>
      <c r="Q8" s="116"/>
      <c r="R8" s="29">
        <f t="shared" ref="R8:R30" si="0">B8+C8+D8+H8+J8+P8+N8+L8</f>
        <v>3597000</v>
      </c>
    </row>
    <row r="9" spans="1:18">
      <c r="A9" s="14" t="s">
        <v>2</v>
      </c>
      <c r="B9" s="14">
        <v>187000</v>
      </c>
      <c r="C9" s="14">
        <v>793000</v>
      </c>
      <c r="F9" s="54">
        <v>500</v>
      </c>
      <c r="G9" s="42"/>
      <c r="H9" s="43">
        <f>ROUND(5664*F9,-3)</f>
        <v>2832000</v>
      </c>
      <c r="J9" s="14">
        <v>724000</v>
      </c>
      <c r="N9" s="14">
        <v>623000</v>
      </c>
      <c r="P9" s="14">
        <v>-12000</v>
      </c>
      <c r="R9" s="14">
        <f t="shared" si="0"/>
        <v>5147000</v>
      </c>
    </row>
    <row r="10" spans="1:18">
      <c r="A10" s="14" t="s">
        <v>3</v>
      </c>
      <c r="B10" s="14">
        <v>490000</v>
      </c>
      <c r="C10" s="14">
        <v>1052000</v>
      </c>
      <c r="F10" s="54">
        <v>437</v>
      </c>
      <c r="G10" s="42"/>
      <c r="H10" s="43">
        <f t="shared" ref="H10:H29" si="1">ROUND(5664*F10,-3)</f>
        <v>2475000</v>
      </c>
      <c r="J10" s="14">
        <v>1186000</v>
      </c>
      <c r="N10" s="14">
        <v>772000</v>
      </c>
      <c r="P10" s="14">
        <v>-50000</v>
      </c>
      <c r="R10" s="14">
        <f t="shared" si="0"/>
        <v>5925000</v>
      </c>
    </row>
    <row r="11" spans="1:18" ht="14.45" customHeight="1">
      <c r="A11" s="14" t="s">
        <v>4</v>
      </c>
      <c r="B11" s="14">
        <v>282000</v>
      </c>
      <c r="C11" s="14">
        <v>0</v>
      </c>
      <c r="F11" s="54">
        <v>462</v>
      </c>
      <c r="G11" s="42"/>
      <c r="H11" s="43">
        <f t="shared" si="1"/>
        <v>2617000</v>
      </c>
      <c r="J11" s="14">
        <v>925000</v>
      </c>
      <c r="L11" s="14">
        <v>250000</v>
      </c>
      <c r="M11" s="19">
        <v>1</v>
      </c>
      <c r="N11" s="14">
        <v>971000</v>
      </c>
      <c r="P11" s="14">
        <v>118000</v>
      </c>
      <c r="R11" s="14">
        <f t="shared" si="0"/>
        <v>5163000</v>
      </c>
    </row>
    <row r="12" spans="1:18" ht="15.75" thickBot="1">
      <c r="A12" s="14" t="s">
        <v>5</v>
      </c>
      <c r="B12" s="14">
        <v>376000</v>
      </c>
      <c r="C12" s="14">
        <v>705000</v>
      </c>
      <c r="F12" s="54">
        <v>353</v>
      </c>
      <c r="G12" s="42"/>
      <c r="H12" s="43">
        <f t="shared" si="1"/>
        <v>1999000</v>
      </c>
      <c r="J12" s="14">
        <v>1252000</v>
      </c>
      <c r="N12" s="14">
        <v>697000</v>
      </c>
      <c r="P12" s="14">
        <v>-21000</v>
      </c>
      <c r="R12" s="14">
        <f t="shared" si="0"/>
        <v>5008000</v>
      </c>
    </row>
    <row r="13" spans="1:18" ht="19.5" thickBot="1">
      <c r="A13" s="77" t="s">
        <v>6</v>
      </c>
      <c r="B13" s="78">
        <v>566000</v>
      </c>
      <c r="C13" s="78">
        <v>13000</v>
      </c>
      <c r="D13" s="78"/>
      <c r="E13" s="78"/>
      <c r="F13" s="110">
        <v>651</v>
      </c>
      <c r="G13" s="108"/>
      <c r="H13" s="109">
        <f t="shared" si="1"/>
        <v>3687000</v>
      </c>
      <c r="I13" s="78"/>
      <c r="J13" s="78">
        <v>1454000</v>
      </c>
      <c r="K13" s="78"/>
      <c r="L13" s="78"/>
      <c r="M13" s="78"/>
      <c r="N13" s="78">
        <v>1209000</v>
      </c>
      <c r="O13" s="78"/>
      <c r="P13" s="78">
        <v>86000</v>
      </c>
      <c r="Q13" s="78"/>
      <c r="R13" s="79">
        <f t="shared" si="0"/>
        <v>7015000</v>
      </c>
    </row>
    <row r="14" spans="1:18">
      <c r="A14" s="14" t="s">
        <v>7</v>
      </c>
      <c r="B14" s="14">
        <v>814000</v>
      </c>
      <c r="C14" s="14">
        <v>743000</v>
      </c>
      <c r="F14" s="54">
        <v>579</v>
      </c>
      <c r="G14" s="42"/>
      <c r="H14" s="43">
        <f>ROUND(5664*F14,-3)+1000</f>
        <v>3280000</v>
      </c>
      <c r="J14" s="14">
        <v>2133000</v>
      </c>
      <c r="N14" s="14">
        <v>1021000</v>
      </c>
      <c r="P14" s="14">
        <v>-40000</v>
      </c>
      <c r="R14" s="14">
        <f t="shared" si="0"/>
        <v>7951000</v>
      </c>
    </row>
    <row r="15" spans="1:18">
      <c r="A15" s="14" t="s">
        <v>8</v>
      </c>
      <c r="B15" s="14">
        <v>312000</v>
      </c>
      <c r="C15" s="14">
        <v>49000</v>
      </c>
      <c r="F15" s="54">
        <v>232</v>
      </c>
      <c r="G15" s="42"/>
      <c r="H15" s="43">
        <f t="shared" si="1"/>
        <v>1314000</v>
      </c>
      <c r="J15" s="14">
        <v>904000</v>
      </c>
      <c r="N15" s="14">
        <v>675000</v>
      </c>
      <c r="P15" s="14">
        <v>17000</v>
      </c>
      <c r="R15" s="14">
        <f t="shared" si="0"/>
        <v>3271000</v>
      </c>
    </row>
    <row r="16" spans="1:18">
      <c r="A16" s="14" t="s">
        <v>9</v>
      </c>
      <c r="B16" s="14">
        <v>798000</v>
      </c>
      <c r="C16" s="14">
        <v>0</v>
      </c>
      <c r="F16" s="54">
        <v>579</v>
      </c>
      <c r="G16" s="42"/>
      <c r="H16" s="43">
        <f>ROUND(5664*F16,-3)+1000</f>
        <v>3280000</v>
      </c>
      <c r="J16" s="14">
        <v>2387000</v>
      </c>
      <c r="N16" s="14">
        <v>1021000</v>
      </c>
      <c r="P16" s="14">
        <v>15000</v>
      </c>
      <c r="R16" s="14">
        <f t="shared" si="0"/>
        <v>7501000</v>
      </c>
    </row>
    <row r="17" spans="1:18">
      <c r="A17" s="14" t="s">
        <v>10</v>
      </c>
      <c r="B17" s="14">
        <v>468000</v>
      </c>
      <c r="C17" s="14">
        <v>0</v>
      </c>
      <c r="F17" s="54">
        <v>650</v>
      </c>
      <c r="G17" s="42"/>
      <c r="H17" s="43">
        <f t="shared" si="1"/>
        <v>3682000</v>
      </c>
      <c r="J17" s="14">
        <v>1415000</v>
      </c>
      <c r="N17" s="14">
        <v>1216000</v>
      </c>
      <c r="P17" s="14">
        <v>197000</v>
      </c>
      <c r="R17" s="14">
        <f t="shared" si="0"/>
        <v>6978000</v>
      </c>
    </row>
    <row r="18" spans="1:18">
      <c r="A18" s="14" t="s">
        <v>11</v>
      </c>
      <c r="B18" s="14">
        <v>67000</v>
      </c>
      <c r="C18" s="14">
        <v>0</v>
      </c>
      <c r="F18" s="54">
        <v>90</v>
      </c>
      <c r="G18" s="42"/>
      <c r="H18" s="43">
        <f t="shared" si="1"/>
        <v>510000</v>
      </c>
      <c r="J18" s="14">
        <v>269000</v>
      </c>
      <c r="N18" s="14">
        <v>516000</v>
      </c>
      <c r="P18" s="14">
        <v>-29000</v>
      </c>
      <c r="R18" s="14">
        <f t="shared" si="0"/>
        <v>1333000</v>
      </c>
    </row>
    <row r="19" spans="1:18">
      <c r="A19" s="14" t="s">
        <v>12</v>
      </c>
      <c r="B19" s="14">
        <v>210000</v>
      </c>
      <c r="C19" s="14">
        <v>603000</v>
      </c>
      <c r="F19" s="54">
        <v>502</v>
      </c>
      <c r="G19" s="42"/>
      <c r="H19" s="43">
        <f t="shared" si="1"/>
        <v>2843000</v>
      </c>
      <c r="J19" s="14">
        <v>696000</v>
      </c>
      <c r="N19" s="14">
        <v>623000</v>
      </c>
      <c r="P19" s="14">
        <v>15000</v>
      </c>
      <c r="R19" s="14">
        <f t="shared" si="0"/>
        <v>4990000</v>
      </c>
    </row>
    <row r="20" spans="1:18">
      <c r="A20" s="14" t="s">
        <v>13</v>
      </c>
      <c r="B20" s="14">
        <v>832000</v>
      </c>
      <c r="C20" s="14">
        <v>0</v>
      </c>
      <c r="F20" s="54">
        <v>544</v>
      </c>
      <c r="G20" s="42"/>
      <c r="H20" s="43">
        <f t="shared" si="1"/>
        <v>3081000</v>
      </c>
      <c r="J20" s="14">
        <v>2444000</v>
      </c>
      <c r="N20" s="14">
        <v>975000</v>
      </c>
      <c r="P20" s="14">
        <v>31000</v>
      </c>
      <c r="R20" s="14">
        <f t="shared" si="0"/>
        <v>7363000</v>
      </c>
    </row>
    <row r="21" spans="1:18">
      <c r="A21" s="14" t="s">
        <v>14</v>
      </c>
      <c r="B21" s="14">
        <v>549000</v>
      </c>
      <c r="C21" s="14">
        <v>0</v>
      </c>
      <c r="F21" s="54">
        <v>538</v>
      </c>
      <c r="G21" s="42"/>
      <c r="H21" s="43">
        <f t="shared" si="1"/>
        <v>3047000</v>
      </c>
      <c r="J21" s="14">
        <v>1549000</v>
      </c>
      <c r="N21" s="14">
        <v>858000</v>
      </c>
      <c r="P21" s="14">
        <v>-6000</v>
      </c>
      <c r="R21" s="14">
        <f t="shared" si="0"/>
        <v>5997000</v>
      </c>
    </row>
    <row r="22" spans="1:18" ht="14.45" customHeight="1">
      <c r="A22" s="14" t="s">
        <v>15</v>
      </c>
      <c r="B22" s="14">
        <v>622000</v>
      </c>
      <c r="C22" s="14">
        <v>0</v>
      </c>
      <c r="F22" s="54">
        <v>460</v>
      </c>
      <c r="G22" s="42"/>
      <c r="H22" s="43">
        <f t="shared" si="1"/>
        <v>2605000</v>
      </c>
      <c r="J22" s="14">
        <v>1629000</v>
      </c>
      <c r="L22" s="14">
        <f>500000</f>
        <v>500000</v>
      </c>
      <c r="M22" s="19">
        <v>2</v>
      </c>
      <c r="N22" s="14">
        <v>968000</v>
      </c>
      <c r="P22" s="14">
        <v>69000</v>
      </c>
      <c r="R22" s="14">
        <f t="shared" si="0"/>
        <v>6393000</v>
      </c>
    </row>
    <row r="23" spans="1:18">
      <c r="A23" s="14" t="s">
        <v>16</v>
      </c>
      <c r="B23" s="14">
        <v>441000</v>
      </c>
      <c r="C23" s="14">
        <v>10000</v>
      </c>
      <c r="F23" s="54">
        <v>438</v>
      </c>
      <c r="G23" s="42"/>
      <c r="H23" s="43">
        <f t="shared" si="1"/>
        <v>2481000</v>
      </c>
      <c r="J23" s="14">
        <v>1342000</v>
      </c>
      <c r="N23" s="14">
        <v>1069000</v>
      </c>
      <c r="P23" s="14">
        <v>78000</v>
      </c>
      <c r="R23" s="14">
        <f t="shared" si="0"/>
        <v>5421000</v>
      </c>
    </row>
    <row r="24" spans="1:18">
      <c r="A24" s="14" t="s">
        <v>17</v>
      </c>
      <c r="B24" s="14">
        <v>800000</v>
      </c>
      <c r="C24" s="14">
        <v>42000</v>
      </c>
      <c r="F24" s="54">
        <v>548</v>
      </c>
      <c r="G24" s="42"/>
      <c r="H24" s="43">
        <f t="shared" si="1"/>
        <v>3104000</v>
      </c>
      <c r="J24" s="14">
        <v>2306000</v>
      </c>
      <c r="N24" s="14">
        <v>982000</v>
      </c>
      <c r="P24" s="14">
        <v>-155000</v>
      </c>
      <c r="R24" s="14">
        <f t="shared" si="0"/>
        <v>7079000</v>
      </c>
    </row>
    <row r="25" spans="1:18">
      <c r="A25" s="14" t="s">
        <v>18</v>
      </c>
      <c r="B25" s="14">
        <v>732000</v>
      </c>
      <c r="C25" s="14">
        <v>0</v>
      </c>
      <c r="F25" s="54">
        <v>485</v>
      </c>
      <c r="G25" s="42"/>
      <c r="H25" s="43">
        <f t="shared" si="1"/>
        <v>2747000</v>
      </c>
      <c r="J25" s="14">
        <v>2085000</v>
      </c>
      <c r="N25" s="14">
        <v>1002000</v>
      </c>
      <c r="P25" s="14">
        <v>-25000</v>
      </c>
      <c r="R25" s="14">
        <f t="shared" si="0"/>
        <v>6541000</v>
      </c>
    </row>
    <row r="26" spans="1:18">
      <c r="A26" s="14" t="s">
        <v>19</v>
      </c>
      <c r="B26" s="14">
        <v>699000</v>
      </c>
      <c r="C26" s="14">
        <v>545000</v>
      </c>
      <c r="F26" s="54">
        <v>453</v>
      </c>
      <c r="G26" s="42"/>
      <c r="H26" s="43">
        <f t="shared" si="1"/>
        <v>2566000</v>
      </c>
      <c r="J26" s="14">
        <v>1867000</v>
      </c>
      <c r="N26" s="14">
        <v>959000</v>
      </c>
      <c r="P26" s="14">
        <v>-69000</v>
      </c>
      <c r="R26" s="14">
        <f t="shared" si="0"/>
        <v>6567000</v>
      </c>
    </row>
    <row r="27" spans="1:18">
      <c r="A27" s="14" t="s">
        <v>20</v>
      </c>
      <c r="B27" s="14">
        <v>621000</v>
      </c>
      <c r="C27" s="14">
        <v>0</v>
      </c>
      <c r="F27" s="54">
        <v>344</v>
      </c>
      <c r="G27" s="42"/>
      <c r="H27" s="43">
        <f t="shared" si="1"/>
        <v>1948000</v>
      </c>
      <c r="J27" s="14">
        <v>1807000</v>
      </c>
      <c r="N27" s="14">
        <v>820000</v>
      </c>
      <c r="P27" s="14">
        <v>-192000</v>
      </c>
      <c r="R27" s="14">
        <f t="shared" si="0"/>
        <v>5004000</v>
      </c>
    </row>
    <row r="28" spans="1:18">
      <c r="A28" s="14" t="s">
        <v>21</v>
      </c>
      <c r="B28" s="14">
        <v>290000</v>
      </c>
      <c r="C28" s="14">
        <v>213000</v>
      </c>
      <c r="F28" s="54">
        <v>580</v>
      </c>
      <c r="G28" s="42"/>
      <c r="H28" s="43">
        <f t="shared" si="1"/>
        <v>3285000</v>
      </c>
      <c r="J28" s="14">
        <v>859000</v>
      </c>
      <c r="N28" s="14">
        <v>714000</v>
      </c>
      <c r="P28" s="14">
        <v>-19000</v>
      </c>
      <c r="R28" s="14">
        <f t="shared" si="0"/>
        <v>5342000</v>
      </c>
    </row>
    <row r="29" spans="1:18">
      <c r="A29" s="14" t="s">
        <v>22</v>
      </c>
      <c r="B29" s="14">
        <v>259000</v>
      </c>
      <c r="C29" s="14">
        <v>269000</v>
      </c>
      <c r="F29" s="54">
        <v>250</v>
      </c>
      <c r="G29" s="42"/>
      <c r="H29" s="43">
        <f t="shared" si="1"/>
        <v>1416000</v>
      </c>
      <c r="J29" s="14">
        <v>724000</v>
      </c>
      <c r="N29" s="14">
        <v>690000</v>
      </c>
      <c r="P29" s="14">
        <v>-73000</v>
      </c>
      <c r="R29" s="14">
        <f t="shared" si="0"/>
        <v>3285000</v>
      </c>
    </row>
    <row r="30" spans="1:18">
      <c r="A30" s="14" t="s">
        <v>23</v>
      </c>
      <c r="B30" s="14">
        <v>237000</v>
      </c>
      <c r="C30" s="14">
        <v>0</v>
      </c>
      <c r="F30" s="54">
        <v>329</v>
      </c>
      <c r="G30" s="42"/>
      <c r="H30" s="43">
        <f>ROUND(5664*F30,-3)+1000</f>
        <v>1864000</v>
      </c>
      <c r="J30" s="14">
        <v>608000</v>
      </c>
      <c r="N30" s="14">
        <v>809000</v>
      </c>
      <c r="P30" s="14">
        <v>81000</v>
      </c>
      <c r="R30" s="14">
        <f t="shared" si="0"/>
        <v>3599000</v>
      </c>
    </row>
    <row r="31" spans="1:18" ht="6" customHeight="1">
      <c r="F31" s="54"/>
      <c r="G31" s="42"/>
      <c r="H31" s="43"/>
    </row>
    <row r="32" spans="1:18">
      <c r="A32" s="6" t="s">
        <v>24</v>
      </c>
      <c r="B32" s="11">
        <f t="shared" ref="B32:P32" si="2">SUM(B8:B30)</f>
        <v>10887000</v>
      </c>
      <c r="C32" s="11">
        <f t="shared" si="2"/>
        <v>5037000</v>
      </c>
      <c r="D32" s="11">
        <f t="shared" si="2"/>
        <v>0</v>
      </c>
      <c r="E32" s="11"/>
      <c r="F32" s="111">
        <f>SUM(F8:F31)</f>
        <v>10314</v>
      </c>
      <c r="G32" s="20"/>
      <c r="H32" s="36">
        <f t="shared" si="2"/>
        <v>58419000</v>
      </c>
      <c r="I32" s="11"/>
      <c r="J32" s="11">
        <f t="shared" si="2"/>
        <v>31283000</v>
      </c>
      <c r="K32" s="11"/>
      <c r="L32" s="11">
        <f t="shared" si="2"/>
        <v>750000</v>
      </c>
      <c r="M32" s="11"/>
      <c r="N32" s="11">
        <f t="shared" si="2"/>
        <v>20000000</v>
      </c>
      <c r="O32" s="11"/>
      <c r="P32" s="11">
        <f t="shared" si="2"/>
        <v>94000</v>
      </c>
      <c r="Q32" s="11"/>
      <c r="R32" s="11">
        <f>SUM(R8:R30)</f>
        <v>126470000</v>
      </c>
    </row>
    <row r="33" spans="1:18" ht="6" customHeight="1">
      <c r="F33" s="112"/>
      <c r="H33" s="43"/>
    </row>
    <row r="34" spans="1:18">
      <c r="A34" s="14" t="s">
        <v>25</v>
      </c>
      <c r="B34" s="14">
        <v>153000</v>
      </c>
      <c r="F34" s="112"/>
      <c r="H34" s="43"/>
      <c r="J34" s="14">
        <v>1237000</v>
      </c>
      <c r="R34" s="14">
        <f>B34+C34+D34+H34+J34+P34+N34</f>
        <v>1390000</v>
      </c>
    </row>
    <row r="35" spans="1:18">
      <c r="A35" s="14" t="s">
        <v>59</v>
      </c>
      <c r="F35" s="112">
        <v>53</v>
      </c>
      <c r="G35" s="39"/>
      <c r="H35" s="43">
        <f>ROUND(5664*F35,-3)</f>
        <v>300000</v>
      </c>
      <c r="P35" s="7">
        <v>-58000</v>
      </c>
      <c r="R35" s="14">
        <f>B35+C35+D35+H35+J35+P35+N35</f>
        <v>242000</v>
      </c>
    </row>
    <row r="36" spans="1:18">
      <c r="A36" s="14" t="s">
        <v>26</v>
      </c>
      <c r="F36" s="112">
        <v>28</v>
      </c>
      <c r="H36" s="43">
        <f>ROUND(5664*F36,-3)</f>
        <v>159000</v>
      </c>
      <c r="P36" s="14">
        <v>-31000</v>
      </c>
      <c r="R36" s="14">
        <f>B36+C36+D36+H36+J36+P36+N36</f>
        <v>128000</v>
      </c>
    </row>
    <row r="37" spans="1:18">
      <c r="A37" s="14" t="s">
        <v>27</v>
      </c>
      <c r="F37" s="112">
        <v>5</v>
      </c>
      <c r="H37" s="43">
        <f>ROUND(5664*F37,-3)</f>
        <v>28000</v>
      </c>
      <c r="P37" s="14">
        <v>-5000</v>
      </c>
      <c r="R37" s="14">
        <f>B37+C37+D37+H37+J37+P37+N37</f>
        <v>23000</v>
      </c>
    </row>
    <row r="38" spans="1:18" ht="14.45" customHeight="1">
      <c r="A38" s="14" t="s">
        <v>28</v>
      </c>
      <c r="D38" s="14">
        <v>7000000</v>
      </c>
      <c r="F38" s="112"/>
      <c r="H38" s="43"/>
      <c r="I38" s="43"/>
      <c r="J38" s="14">
        <v>33008000</v>
      </c>
      <c r="K38" s="19"/>
      <c r="L38" s="14">
        <f>14000000+25000000+10406000-250000</f>
        <v>49156000</v>
      </c>
      <c r="M38" s="19">
        <v>3</v>
      </c>
      <c r="P38" s="19"/>
      <c r="Q38" s="19"/>
      <c r="R38" s="14">
        <f>B38+C38+D38+H38+J38+P38+N38+L38</f>
        <v>89164000</v>
      </c>
    </row>
    <row r="39" spans="1:18">
      <c r="A39" s="14" t="s">
        <v>39</v>
      </c>
      <c r="D39" s="14">
        <v>7628000</v>
      </c>
      <c r="F39" s="112"/>
      <c r="H39" s="43"/>
      <c r="I39" s="43"/>
      <c r="R39" s="14">
        <f>B39+C39+D39+H39+J39+P39+N39</f>
        <v>7628000</v>
      </c>
    </row>
    <row r="40" spans="1:18" ht="9" customHeight="1">
      <c r="F40" s="112"/>
      <c r="H40" s="43"/>
    </row>
    <row r="41" spans="1:18" ht="15.75" thickBot="1">
      <c r="A41" s="4" t="s">
        <v>29</v>
      </c>
      <c r="B41" s="10">
        <f>SUM(B32:B40)</f>
        <v>11040000</v>
      </c>
      <c r="C41" s="10">
        <f>SUM(C32:C40)</f>
        <v>5037000</v>
      </c>
      <c r="D41" s="10">
        <f>SUM(D32:D40)</f>
        <v>14628000</v>
      </c>
      <c r="E41" s="10"/>
      <c r="F41" s="120">
        <f>SUM(F32:F39)</f>
        <v>10400</v>
      </c>
      <c r="G41" s="24"/>
      <c r="H41" s="37">
        <f>SUM(H32:H40)</f>
        <v>58906000</v>
      </c>
      <c r="I41" s="10"/>
      <c r="J41" s="10">
        <f>SUM(J32:J40)</f>
        <v>65528000</v>
      </c>
      <c r="K41" s="10"/>
      <c r="L41" s="10">
        <f>SUM(L32:L40)</f>
        <v>49906000</v>
      </c>
      <c r="M41" s="10"/>
      <c r="N41" s="10">
        <f>SUM(N32:N40)</f>
        <v>20000000</v>
      </c>
      <c r="O41" s="10"/>
      <c r="P41" s="10">
        <f>SUM(P32:P40)</f>
        <v>0</v>
      </c>
      <c r="Q41" s="10"/>
      <c r="R41" s="10">
        <f>SUM(R32:R40)</f>
        <v>225045000</v>
      </c>
    </row>
    <row r="42" spans="1:18" ht="9" customHeight="1">
      <c r="A42" s="23"/>
      <c r="B42" s="31"/>
      <c r="C42" s="31"/>
      <c r="D42" s="31"/>
      <c r="E42" s="31"/>
      <c r="F42" s="32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7.25">
      <c r="A43" s="14" t="s">
        <v>77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50"/>
    </row>
    <row r="44" spans="1:18" ht="17.25">
      <c r="A44" s="14" t="s">
        <v>78</v>
      </c>
      <c r="H44" s="40"/>
      <c r="I44" s="40"/>
      <c r="J44" s="40"/>
      <c r="K44" s="40"/>
      <c r="L44" s="40"/>
      <c r="M44" s="40"/>
      <c r="N44" s="51"/>
      <c r="O44" s="51"/>
      <c r="P44" s="40"/>
      <c r="Q44" s="40"/>
      <c r="R44" s="50"/>
    </row>
    <row r="45" spans="1:18" ht="17.25">
      <c r="A45" s="14" t="s">
        <v>72</v>
      </c>
      <c r="R45" s="2"/>
    </row>
    <row r="46" spans="1:18">
      <c r="R46" s="2"/>
    </row>
    <row r="47" spans="1:18">
      <c r="R47" s="2"/>
    </row>
    <row r="48" spans="1:18">
      <c r="R48" s="2"/>
    </row>
    <row r="49" spans="18:18">
      <c r="R49" s="2"/>
    </row>
  </sheetData>
  <mergeCells count="2">
    <mergeCell ref="B5:D5"/>
    <mergeCell ref="H5:N5"/>
  </mergeCells>
  <printOptions horizontalCentered="1"/>
  <pageMargins left="0.75" right="0.5" top="0.75" bottom="0.5" header="0.3" footer="0.3"/>
  <pageSetup paperSize="17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49"/>
  <sheetViews>
    <sheetView tabSelected="1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R13" sqref="R13"/>
    </sheetView>
  </sheetViews>
  <sheetFormatPr defaultColWidth="8.85546875" defaultRowHeight="15"/>
  <cols>
    <col min="1" max="1" width="21" style="45" customWidth="1"/>
    <col min="2" max="2" width="15.7109375" style="45" customWidth="1"/>
    <col min="3" max="3" width="1.28515625" style="45" customWidth="1"/>
    <col min="4" max="4" width="15.7109375" style="45" customWidth="1"/>
    <col min="5" max="5" width="1.28515625" style="45" customWidth="1"/>
    <col min="6" max="6" width="15.7109375" style="45" customWidth="1"/>
    <col min="7" max="7" width="1.28515625" style="45" customWidth="1"/>
    <col min="8" max="8" width="19.7109375" style="45" customWidth="1"/>
    <col min="9" max="9" width="1.28515625" style="45" customWidth="1"/>
    <col min="10" max="10" width="19.28515625" style="45" customWidth="1"/>
    <col min="11" max="11" width="1.28515625" style="45" customWidth="1"/>
    <col min="12" max="12" width="17.28515625" style="45" customWidth="1"/>
    <col min="13" max="13" width="1.28515625" style="45" customWidth="1"/>
    <col min="14" max="14" width="17.85546875" style="45" customWidth="1"/>
    <col min="15" max="15" width="1.28515625" style="45" customWidth="1"/>
    <col min="16" max="16" width="15.7109375" style="45" customWidth="1"/>
    <col min="17" max="17" width="1.28515625" style="45" customWidth="1"/>
    <col min="18" max="18" width="15.7109375" style="45" customWidth="1"/>
    <col min="19" max="19" width="1.28515625" style="45" customWidth="1"/>
    <col min="20" max="20" width="15.7109375" style="45" customWidth="1"/>
    <col min="21" max="21" width="1.28515625" style="45" customWidth="1"/>
    <col min="22" max="22" width="17" style="45" customWidth="1"/>
    <col min="23" max="23" width="10.42578125" style="45" bestFit="1" customWidth="1"/>
    <col min="24" max="16384" width="8.85546875" style="45"/>
  </cols>
  <sheetData>
    <row r="1" spans="1:22" ht="18.75">
      <c r="A1" s="9" t="s">
        <v>75</v>
      </c>
      <c r="B1" s="9"/>
      <c r="C1" s="9"/>
    </row>
    <row r="2" spans="1:22" ht="18.75">
      <c r="A2" s="9" t="s">
        <v>56</v>
      </c>
      <c r="B2" s="9"/>
      <c r="C2" s="9"/>
    </row>
    <row r="3" spans="1:22" ht="18.75">
      <c r="A3" s="53" t="s">
        <v>40</v>
      </c>
      <c r="B3" s="9"/>
      <c r="C3" s="9"/>
    </row>
    <row r="4" spans="1:22" ht="15" customHeight="1">
      <c r="A4" s="53"/>
      <c r="B4" s="9"/>
      <c r="C4" s="9"/>
    </row>
    <row r="5" spans="1:22" ht="15" customHeight="1">
      <c r="A5" s="124"/>
      <c r="B5" s="124"/>
      <c r="C5" s="124"/>
      <c r="D5" s="8"/>
      <c r="E5" s="8"/>
      <c r="F5" s="8"/>
      <c r="G5" s="8"/>
      <c r="H5" s="106">
        <v>-1</v>
      </c>
      <c r="I5" s="106"/>
      <c r="J5" s="106">
        <v>-2</v>
      </c>
      <c r="K5" s="106"/>
      <c r="L5" s="106">
        <v>-3</v>
      </c>
      <c r="M5" s="106"/>
      <c r="N5" s="106">
        <v>-4</v>
      </c>
      <c r="O5" s="106"/>
      <c r="P5" s="106">
        <v>-5</v>
      </c>
      <c r="Q5" s="106"/>
      <c r="R5" s="106">
        <v>-6</v>
      </c>
      <c r="S5" s="106"/>
      <c r="T5" s="106">
        <v>-7</v>
      </c>
      <c r="U5" s="124"/>
      <c r="V5" s="124"/>
    </row>
    <row r="6" spans="1:22" ht="15" customHeight="1" thickBot="1">
      <c r="A6" s="124"/>
      <c r="B6" s="124"/>
      <c r="C6" s="124"/>
      <c r="D6" s="8"/>
      <c r="E6" s="8"/>
      <c r="F6" s="8"/>
      <c r="G6" s="8"/>
      <c r="H6" s="125"/>
      <c r="I6" s="125"/>
      <c r="J6" s="22"/>
      <c r="K6" s="22"/>
      <c r="L6" s="59" t="s">
        <v>67</v>
      </c>
      <c r="M6" s="59"/>
      <c r="N6" s="59"/>
      <c r="O6" s="59"/>
      <c r="P6" s="59"/>
      <c r="Q6" s="59"/>
      <c r="R6" s="59"/>
      <c r="S6" s="127"/>
      <c r="T6" s="22"/>
      <c r="U6" s="124"/>
      <c r="V6" s="124"/>
    </row>
    <row r="7" spans="1:22" ht="107.25">
      <c r="A7" s="124"/>
      <c r="B7" s="128" t="s">
        <v>46</v>
      </c>
      <c r="C7" s="126"/>
      <c r="D7" s="114" t="s">
        <v>51</v>
      </c>
      <c r="E7" s="33"/>
      <c r="F7" s="114" t="s">
        <v>86</v>
      </c>
      <c r="G7" s="33"/>
      <c r="H7" s="114" t="s">
        <v>87</v>
      </c>
      <c r="I7" s="34"/>
      <c r="J7" s="114" t="s">
        <v>68</v>
      </c>
      <c r="K7" s="34"/>
      <c r="L7" s="129" t="s">
        <v>74</v>
      </c>
      <c r="M7" s="17"/>
      <c r="N7" s="114" t="s">
        <v>88</v>
      </c>
      <c r="O7" s="34"/>
      <c r="P7" s="114" t="s">
        <v>65</v>
      </c>
      <c r="Q7" s="34"/>
      <c r="R7" s="129" t="s">
        <v>66</v>
      </c>
      <c r="S7" s="17"/>
      <c r="T7" s="129" t="s">
        <v>69</v>
      </c>
      <c r="U7" s="124"/>
      <c r="V7" s="130" t="s">
        <v>70</v>
      </c>
    </row>
    <row r="8" spans="1:22">
      <c r="D8" s="33"/>
      <c r="E8" s="33"/>
      <c r="F8" s="33"/>
      <c r="G8" s="33"/>
      <c r="H8" s="34"/>
      <c r="I8" s="34"/>
      <c r="J8" s="1"/>
      <c r="K8" s="1"/>
      <c r="L8" s="1"/>
      <c r="M8" s="1"/>
      <c r="N8" s="1"/>
      <c r="O8" s="1"/>
      <c r="P8" s="1"/>
      <c r="Q8" s="1"/>
      <c r="R8" s="35"/>
      <c r="S8" s="35"/>
      <c r="T8" s="35" t="s">
        <v>35</v>
      </c>
      <c r="V8" s="26" t="s">
        <v>37</v>
      </c>
    </row>
    <row r="9" spans="1:22" ht="9" customHeight="1">
      <c r="D9" s="33"/>
      <c r="E9" s="33"/>
      <c r="F9" s="33"/>
      <c r="G9" s="33"/>
      <c r="H9" s="34"/>
      <c r="I9" s="34"/>
      <c r="J9" s="1"/>
      <c r="K9" s="1"/>
      <c r="L9" s="1"/>
      <c r="M9" s="1"/>
      <c r="N9" s="1"/>
      <c r="O9" s="1"/>
      <c r="P9" s="1"/>
      <c r="Q9" s="1"/>
      <c r="R9" s="16"/>
      <c r="S9" s="16"/>
      <c r="T9" s="17"/>
      <c r="V9" s="46"/>
    </row>
    <row r="10" spans="1:22">
      <c r="A10" s="41" t="s">
        <v>1</v>
      </c>
      <c r="B10" s="14">
        <v>7216</v>
      </c>
      <c r="C10" s="14"/>
      <c r="D10" s="54">
        <v>310</v>
      </c>
      <c r="E10" s="54"/>
      <c r="F10" s="14">
        <v>139.4</v>
      </c>
      <c r="G10" s="14"/>
      <c r="H10" s="29">
        <f>ROUND(46651262,-2)</f>
        <v>46651300</v>
      </c>
      <c r="I10" s="29"/>
      <c r="J10" s="29">
        <v>-16588400</v>
      </c>
      <c r="K10" s="29"/>
      <c r="L10" s="29">
        <v>-962000</v>
      </c>
      <c r="M10" s="29"/>
      <c r="N10" s="29">
        <v>-48000</v>
      </c>
      <c r="O10" s="29"/>
      <c r="P10" s="29">
        <v>1857000</v>
      </c>
      <c r="Q10" s="29"/>
      <c r="R10" s="29">
        <v>-417000</v>
      </c>
      <c r="S10" s="29"/>
      <c r="T10" s="29">
        <f>SUM(H10:R10)</f>
        <v>30492900</v>
      </c>
      <c r="U10" s="29"/>
      <c r="V10" s="131">
        <f>J10+R10</f>
        <v>-17005400</v>
      </c>
    </row>
    <row r="11" spans="1:22">
      <c r="A11" s="14" t="s">
        <v>2</v>
      </c>
      <c r="B11" s="14">
        <v>5000</v>
      </c>
      <c r="C11" s="14"/>
      <c r="D11" s="54">
        <v>500</v>
      </c>
      <c r="E11" s="54"/>
      <c r="F11" s="14">
        <v>21.1</v>
      </c>
      <c r="G11" s="14"/>
      <c r="H11" s="14">
        <f>ROUND(32094427,-2)</f>
        <v>32094400</v>
      </c>
      <c r="I11" s="14"/>
      <c r="J11" s="14">
        <v>-8627000</v>
      </c>
      <c r="K11" s="14"/>
      <c r="L11" s="14">
        <v>110000</v>
      </c>
      <c r="M11" s="14"/>
      <c r="N11" s="14">
        <v>-18000</v>
      </c>
      <c r="O11" s="14"/>
      <c r="P11" s="14">
        <v>3044000</v>
      </c>
      <c r="Q11" s="14"/>
      <c r="R11" s="14">
        <v>-535000</v>
      </c>
      <c r="S11" s="14"/>
      <c r="T11" s="14">
        <f>SUM(H11:R11)</f>
        <v>26068400</v>
      </c>
      <c r="V11" s="47">
        <f>J11+R11</f>
        <v>-9162000</v>
      </c>
    </row>
    <row r="12" spans="1:22">
      <c r="A12" s="14" t="s">
        <v>3</v>
      </c>
      <c r="B12" s="14">
        <v>14563</v>
      </c>
      <c r="C12" s="14"/>
      <c r="D12" s="54">
        <v>437</v>
      </c>
      <c r="E12" s="54"/>
      <c r="F12" s="14">
        <v>689.4</v>
      </c>
      <c r="G12" s="14"/>
      <c r="H12" s="14">
        <v>96700000</v>
      </c>
      <c r="I12" s="14"/>
      <c r="J12" s="14">
        <v>-21904000</v>
      </c>
      <c r="K12" s="14"/>
      <c r="L12" s="14">
        <v>-652000</v>
      </c>
      <c r="M12" s="14"/>
      <c r="N12" s="14">
        <v>560000</v>
      </c>
      <c r="O12" s="14"/>
      <c r="P12" s="14">
        <v>2526000</v>
      </c>
      <c r="Q12" s="14"/>
      <c r="R12" s="14">
        <v>-428000</v>
      </c>
      <c r="S12" s="14"/>
      <c r="T12" s="14">
        <f>SUM(H12:R12)</f>
        <v>76802000</v>
      </c>
      <c r="V12" s="47">
        <f>J12+R12</f>
        <v>-22332000</v>
      </c>
    </row>
    <row r="13" spans="1:22">
      <c r="A13" s="14" t="s">
        <v>4</v>
      </c>
      <c r="B13" s="14">
        <v>9928</v>
      </c>
      <c r="C13" s="14"/>
      <c r="D13" s="54">
        <v>462</v>
      </c>
      <c r="E13" s="54"/>
      <c r="F13" s="14">
        <v>78</v>
      </c>
      <c r="G13" s="14"/>
      <c r="H13" s="14">
        <f>ROUND(69131239,-2)</f>
        <v>69131200</v>
      </c>
      <c r="I13" s="14"/>
      <c r="J13" s="14">
        <v>-28217500</v>
      </c>
      <c r="K13" s="14"/>
      <c r="L13" s="14">
        <v>-1176000</v>
      </c>
      <c r="M13" s="14"/>
      <c r="N13" s="14">
        <v>27000</v>
      </c>
      <c r="O13" s="14"/>
      <c r="P13" s="14">
        <v>3155000</v>
      </c>
      <c r="Q13" s="14"/>
      <c r="R13" s="14">
        <v>-623000</v>
      </c>
      <c r="S13" s="14"/>
      <c r="T13" s="14">
        <f>SUM(H13:R13)</f>
        <v>42296700</v>
      </c>
      <c r="V13" s="47">
        <f>J13+R13</f>
        <v>-28840500</v>
      </c>
    </row>
    <row r="14" spans="1:22" ht="15.75" thickBot="1">
      <c r="A14" s="14" t="s">
        <v>5</v>
      </c>
      <c r="B14" s="14">
        <v>11761</v>
      </c>
      <c r="C14" s="14"/>
      <c r="D14" s="54">
        <v>353</v>
      </c>
      <c r="E14" s="54"/>
      <c r="F14" s="14">
        <v>1203.9000000000001</v>
      </c>
      <c r="G14" s="14"/>
      <c r="H14" s="14">
        <f>ROUND(99907597,-2)</f>
        <v>99907600</v>
      </c>
      <c r="I14" s="14"/>
      <c r="J14" s="14">
        <v>-22145800</v>
      </c>
      <c r="K14" s="14"/>
      <c r="L14" s="14">
        <v>-990000</v>
      </c>
      <c r="M14" s="14"/>
      <c r="N14" s="14">
        <v>1303000</v>
      </c>
      <c r="O14" s="14"/>
      <c r="P14" s="14">
        <v>2230000</v>
      </c>
      <c r="Q14" s="14"/>
      <c r="R14" s="14">
        <v>-365000</v>
      </c>
      <c r="S14" s="14"/>
      <c r="T14" s="14">
        <f>SUM(H14:R14)</f>
        <v>79939800</v>
      </c>
      <c r="V14" s="47">
        <f>J14+R14</f>
        <v>-22510800</v>
      </c>
    </row>
    <row r="15" spans="1:22" ht="19.5" thickBot="1">
      <c r="A15" s="77" t="s">
        <v>6</v>
      </c>
      <c r="B15" s="78">
        <v>18178</v>
      </c>
      <c r="C15" s="78"/>
      <c r="D15" s="110">
        <v>651</v>
      </c>
      <c r="E15" s="110"/>
      <c r="F15" s="78">
        <v>571.6</v>
      </c>
      <c r="G15" s="78"/>
      <c r="H15" s="78">
        <f>ROUND(121747505,-2)</f>
        <v>121747500</v>
      </c>
      <c r="I15" s="78"/>
      <c r="J15" s="78">
        <v>-36995200</v>
      </c>
      <c r="K15" s="78"/>
      <c r="L15" s="78">
        <v>709000</v>
      </c>
      <c r="M15" s="78"/>
      <c r="N15" s="78">
        <v>926000</v>
      </c>
      <c r="O15" s="78"/>
      <c r="P15" s="78">
        <v>4048000</v>
      </c>
      <c r="Q15" s="78"/>
      <c r="R15" s="78">
        <v>-798000</v>
      </c>
      <c r="S15" s="78"/>
      <c r="T15" s="78">
        <f>SUM(H15:R15)</f>
        <v>89637300</v>
      </c>
      <c r="U15" s="132"/>
      <c r="V15" s="133">
        <f>J15+R15</f>
        <v>-37793200</v>
      </c>
    </row>
    <row r="16" spans="1:22">
      <c r="A16" s="14" t="s">
        <v>7</v>
      </c>
      <c r="B16" s="14">
        <v>27873</v>
      </c>
      <c r="C16" s="14"/>
      <c r="D16" s="54">
        <v>579</v>
      </c>
      <c r="E16" s="54"/>
      <c r="F16" s="14">
        <v>1177.5999999999999</v>
      </c>
      <c r="G16" s="14"/>
      <c r="H16" s="14">
        <f>ROUND(208371775,-2)</f>
        <v>208371800</v>
      </c>
      <c r="I16" s="14"/>
      <c r="J16" s="14">
        <v>-49641600</v>
      </c>
      <c r="K16" s="14"/>
      <c r="L16" s="14">
        <v>475000</v>
      </c>
      <c r="M16" s="14"/>
      <c r="N16" s="14">
        <v>1598000</v>
      </c>
      <c r="O16" s="14"/>
      <c r="P16" s="14">
        <v>3776000</v>
      </c>
      <c r="Q16" s="14"/>
      <c r="R16" s="14">
        <v>-593000</v>
      </c>
      <c r="S16" s="14"/>
      <c r="T16" s="14">
        <f>SUM(H16:R16)</f>
        <v>163986200</v>
      </c>
      <c r="V16" s="47">
        <f>J16+R16</f>
        <v>-50234600</v>
      </c>
    </row>
    <row r="17" spans="1:22">
      <c r="A17" s="14" t="s">
        <v>8</v>
      </c>
      <c r="B17" s="14">
        <v>7251</v>
      </c>
      <c r="C17" s="14"/>
      <c r="D17" s="54">
        <v>232</v>
      </c>
      <c r="E17" s="54"/>
      <c r="F17" s="14">
        <v>184.9</v>
      </c>
      <c r="G17" s="14"/>
      <c r="H17" s="14">
        <f>ROUND(53017305,-2)</f>
        <v>53017300</v>
      </c>
      <c r="I17" s="14"/>
      <c r="J17" s="14">
        <v>-13211300</v>
      </c>
      <c r="K17" s="14"/>
      <c r="L17" s="14">
        <v>-38000</v>
      </c>
      <c r="M17" s="14"/>
      <c r="N17" s="14">
        <v>-107000</v>
      </c>
      <c r="O17" s="14"/>
      <c r="P17" s="14">
        <v>1351000</v>
      </c>
      <c r="Q17" s="14"/>
      <c r="R17" s="14">
        <v>-271000</v>
      </c>
      <c r="S17" s="14"/>
      <c r="T17" s="14">
        <f>SUM(H17:R17)</f>
        <v>40741000</v>
      </c>
      <c r="V17" s="47">
        <f>J17+R17</f>
        <v>-13482300</v>
      </c>
    </row>
    <row r="18" spans="1:22">
      <c r="A18" s="14" t="s">
        <v>9</v>
      </c>
      <c r="B18" s="14">
        <v>27848</v>
      </c>
      <c r="C18" s="14"/>
      <c r="D18" s="54">
        <v>579</v>
      </c>
      <c r="E18" s="54"/>
      <c r="F18" s="14">
        <v>1418.2</v>
      </c>
      <c r="G18" s="14"/>
      <c r="H18" s="14">
        <f>ROUND(229667076,-2)</f>
        <v>229667100</v>
      </c>
      <c r="I18" s="14"/>
      <c r="J18" s="14">
        <v>-52044400</v>
      </c>
      <c r="K18" s="14"/>
      <c r="L18" s="14">
        <v>-1632000</v>
      </c>
      <c r="M18" s="14"/>
      <c r="N18" s="14">
        <v>2655000</v>
      </c>
      <c r="O18" s="14"/>
      <c r="P18" s="14">
        <v>3722000</v>
      </c>
      <c r="Q18" s="14"/>
      <c r="R18" s="14">
        <v>-648000</v>
      </c>
      <c r="S18" s="14"/>
      <c r="T18" s="14">
        <f>SUM(H18:R18)</f>
        <v>181719700</v>
      </c>
      <c r="V18" s="47">
        <f>J18+R18</f>
        <v>-52692400</v>
      </c>
    </row>
    <row r="19" spans="1:22">
      <c r="A19" s="14" t="s">
        <v>10</v>
      </c>
      <c r="B19" s="14">
        <v>16931</v>
      </c>
      <c r="C19" s="14"/>
      <c r="D19" s="54">
        <v>650</v>
      </c>
      <c r="E19" s="54"/>
      <c r="F19" s="14">
        <v>604.79999999999995</v>
      </c>
      <c r="G19" s="14"/>
      <c r="H19" s="14">
        <f>ROUND(135455142,-2)</f>
        <v>135455100</v>
      </c>
      <c r="I19" s="14"/>
      <c r="J19" s="14">
        <v>-44224300</v>
      </c>
      <c r="K19" s="14"/>
      <c r="L19" s="14">
        <v>-2873000</v>
      </c>
      <c r="M19" s="14"/>
      <c r="N19" s="14">
        <v>644000</v>
      </c>
      <c r="O19" s="14"/>
      <c r="P19" s="14">
        <v>4298000</v>
      </c>
      <c r="Q19" s="14"/>
      <c r="R19" s="14">
        <v>-908000</v>
      </c>
      <c r="S19" s="14"/>
      <c r="T19" s="14">
        <f>SUM(H19:R19)</f>
        <v>92391800</v>
      </c>
      <c r="V19" s="47">
        <f>J19+R19</f>
        <v>-45132300</v>
      </c>
    </row>
    <row r="20" spans="1:22">
      <c r="A20" s="14" t="s">
        <v>11</v>
      </c>
      <c r="B20" s="14">
        <v>1301</v>
      </c>
      <c r="C20" s="14"/>
      <c r="D20" s="54">
        <v>90</v>
      </c>
      <c r="E20" s="54"/>
      <c r="F20" s="14">
        <v>174.3</v>
      </c>
      <c r="G20" s="14"/>
      <c r="H20" s="14">
        <f>ROUND(10656290,-2)</f>
        <v>10656300</v>
      </c>
      <c r="I20" s="14"/>
      <c r="J20" s="14">
        <v>-1881900</v>
      </c>
      <c r="K20" s="14"/>
      <c r="L20" s="14">
        <v>63000</v>
      </c>
      <c r="M20" s="14"/>
      <c r="N20" s="14">
        <v>595000</v>
      </c>
      <c r="O20" s="14"/>
      <c r="P20" s="14">
        <v>397000</v>
      </c>
      <c r="Q20" s="14"/>
      <c r="R20" s="14">
        <v>-69000</v>
      </c>
      <c r="S20" s="14"/>
      <c r="T20" s="14">
        <f>SUM(H20:R20)</f>
        <v>9760400</v>
      </c>
      <c r="V20" s="47">
        <f>J20+R20</f>
        <v>-1950900</v>
      </c>
    </row>
    <row r="21" spans="1:22">
      <c r="A21" s="14" t="s">
        <v>12</v>
      </c>
      <c r="B21" s="14">
        <v>5017</v>
      </c>
      <c r="C21" s="14"/>
      <c r="D21" s="54">
        <v>502</v>
      </c>
      <c r="E21" s="54"/>
      <c r="F21" s="14">
        <v>175.3</v>
      </c>
      <c r="G21" s="14"/>
      <c r="H21" s="14">
        <f>ROUND((30912632-H39)/100,0)*100</f>
        <v>30259600</v>
      </c>
      <c r="I21" s="14"/>
      <c r="J21" s="14">
        <v>-9785500</v>
      </c>
      <c r="K21" s="14"/>
      <c r="L21" s="14">
        <v>-159000</v>
      </c>
      <c r="M21" s="14"/>
      <c r="N21" s="14">
        <v>512000</v>
      </c>
      <c r="O21" s="14"/>
      <c r="P21" s="14">
        <v>2883000</v>
      </c>
      <c r="Q21" s="14"/>
      <c r="R21" s="14">
        <v>-564000</v>
      </c>
      <c r="S21" s="14"/>
      <c r="T21" s="14">
        <f>SUM(H21:R21)</f>
        <v>23146100</v>
      </c>
      <c r="V21" s="47">
        <f>J21+R21</f>
        <v>-10349500</v>
      </c>
    </row>
    <row r="22" spans="1:22">
      <c r="A22" s="14" t="s">
        <v>13</v>
      </c>
      <c r="B22" s="14">
        <v>26143</v>
      </c>
      <c r="C22" s="14"/>
      <c r="D22" s="54">
        <v>544</v>
      </c>
      <c r="E22" s="54"/>
      <c r="F22" s="14">
        <v>1976.9</v>
      </c>
      <c r="G22" s="14"/>
      <c r="H22" s="14">
        <f>ROUND(214976644,-2)</f>
        <v>214976600</v>
      </c>
      <c r="I22" s="14"/>
      <c r="J22" s="14">
        <v>-54406800</v>
      </c>
      <c r="K22" s="14"/>
      <c r="L22" s="14">
        <v>-433000</v>
      </c>
      <c r="M22" s="14"/>
      <c r="N22" s="14">
        <v>1368000</v>
      </c>
      <c r="O22" s="14"/>
      <c r="P22" s="14">
        <v>3552000</v>
      </c>
      <c r="Q22" s="14"/>
      <c r="R22" s="14">
        <v>-626000</v>
      </c>
      <c r="S22" s="14"/>
      <c r="T22" s="14">
        <f>SUM(H22:R22)</f>
        <v>164430800</v>
      </c>
      <c r="V22" s="47">
        <f>J22+R22</f>
        <v>-55032800</v>
      </c>
    </row>
    <row r="23" spans="1:22">
      <c r="A23" s="14" t="s">
        <v>14</v>
      </c>
      <c r="B23" s="14">
        <v>17756</v>
      </c>
      <c r="C23" s="14"/>
      <c r="D23" s="54">
        <v>538</v>
      </c>
      <c r="E23" s="54"/>
      <c r="F23" s="14">
        <v>585.4</v>
      </c>
      <c r="G23" s="14"/>
      <c r="H23" s="14">
        <f>ROUND(139008550,-2)</f>
        <v>139008600</v>
      </c>
      <c r="I23" s="14"/>
      <c r="J23" s="14">
        <v>-30575200</v>
      </c>
      <c r="K23" s="14"/>
      <c r="L23" s="14">
        <v>-570000</v>
      </c>
      <c r="M23" s="14"/>
      <c r="N23" s="14">
        <v>74000</v>
      </c>
      <c r="O23" s="14"/>
      <c r="P23" s="14">
        <v>3344000</v>
      </c>
      <c r="Q23" s="14"/>
      <c r="R23" s="14">
        <v>-583000</v>
      </c>
      <c r="S23" s="14"/>
      <c r="T23" s="14">
        <f>SUM(H23:R23)</f>
        <v>110698400</v>
      </c>
      <c r="V23" s="47">
        <f>J23+R23</f>
        <v>-31158200</v>
      </c>
    </row>
    <row r="24" spans="1:22">
      <c r="A24" s="14" t="s">
        <v>15</v>
      </c>
      <c r="B24" s="14">
        <v>22085</v>
      </c>
      <c r="C24" s="14"/>
      <c r="D24" s="54">
        <v>460</v>
      </c>
      <c r="E24" s="54"/>
      <c r="F24" s="14">
        <v>388.6</v>
      </c>
      <c r="G24" s="14"/>
      <c r="H24" s="14">
        <f>ROUND(156441518,-2)</f>
        <v>156441500</v>
      </c>
      <c r="I24" s="14"/>
      <c r="J24" s="14">
        <v>-42917700</v>
      </c>
      <c r="K24" s="14"/>
      <c r="L24" s="14">
        <v>-1092000</v>
      </c>
      <c r="M24" s="14"/>
      <c r="N24" s="14">
        <v>401000</v>
      </c>
      <c r="O24" s="14"/>
      <c r="P24" s="14">
        <v>2993000</v>
      </c>
      <c r="Q24" s="14"/>
      <c r="R24" s="14">
        <v>-572000</v>
      </c>
      <c r="S24" s="14"/>
      <c r="T24" s="14">
        <f>SUM(H24:R24)</f>
        <v>115253800</v>
      </c>
      <c r="V24" s="47">
        <f>J24+R24</f>
        <v>-43489700</v>
      </c>
    </row>
    <row r="25" spans="1:22">
      <c r="A25" s="14" t="s">
        <v>16</v>
      </c>
      <c r="B25" s="14">
        <v>14616</v>
      </c>
      <c r="C25" s="14"/>
      <c r="D25" s="54">
        <v>438</v>
      </c>
      <c r="E25" s="54"/>
      <c r="F25" s="14">
        <v>916.4</v>
      </c>
      <c r="G25" s="14"/>
      <c r="H25" s="14">
        <f>ROUND(115989101,-2)</f>
        <v>115989100</v>
      </c>
      <c r="I25" s="14"/>
      <c r="J25" s="14">
        <v>-33316900</v>
      </c>
      <c r="K25" s="14"/>
      <c r="L25" s="14">
        <v>-278000</v>
      </c>
      <c r="M25" s="14"/>
      <c r="N25" s="14">
        <v>621000</v>
      </c>
      <c r="O25" s="14"/>
      <c r="P25" s="14">
        <v>2757000</v>
      </c>
      <c r="Q25" s="14"/>
      <c r="R25" s="14">
        <v>-557000</v>
      </c>
      <c r="S25" s="14"/>
      <c r="T25" s="14">
        <f>SUM(H25:R25)</f>
        <v>85215200</v>
      </c>
      <c r="V25" s="47">
        <f>J25+R25</f>
        <v>-33873900</v>
      </c>
    </row>
    <row r="26" spans="1:22">
      <c r="A26" s="14" t="s">
        <v>17</v>
      </c>
      <c r="B26" s="14">
        <v>26400</v>
      </c>
      <c r="C26" s="14"/>
      <c r="D26" s="54">
        <v>548</v>
      </c>
      <c r="E26" s="54"/>
      <c r="F26" s="14">
        <v>2522.1</v>
      </c>
      <c r="G26" s="14"/>
      <c r="H26" s="14">
        <f>ROUND(210999789,-2)</f>
        <v>210999800</v>
      </c>
      <c r="I26" s="14"/>
      <c r="J26" s="14">
        <v>-40506800</v>
      </c>
      <c r="K26" s="14"/>
      <c r="L26" s="14">
        <v>-393000</v>
      </c>
      <c r="M26" s="14"/>
      <c r="N26" s="14">
        <v>2885000</v>
      </c>
      <c r="O26" s="14"/>
      <c r="P26" s="14">
        <v>3421000</v>
      </c>
      <c r="Q26" s="14"/>
      <c r="R26" s="14">
        <v>-445000</v>
      </c>
      <c r="S26" s="14"/>
      <c r="T26" s="14">
        <f>SUM(H26:R26)</f>
        <v>175961000</v>
      </c>
      <c r="V26" s="47">
        <f>J26+R26</f>
        <v>-40951800</v>
      </c>
    </row>
    <row r="27" spans="1:22">
      <c r="A27" s="14" t="s">
        <v>18</v>
      </c>
      <c r="B27" s="14">
        <v>23351</v>
      </c>
      <c r="C27" s="14"/>
      <c r="D27" s="54">
        <v>485</v>
      </c>
      <c r="E27" s="54"/>
      <c r="F27" s="14">
        <v>1601.2</v>
      </c>
      <c r="G27" s="14"/>
      <c r="H27" s="14">
        <f>ROUND(182518693,-2)</f>
        <v>182518700</v>
      </c>
      <c r="I27" s="14"/>
      <c r="J27" s="14">
        <v>-44375200</v>
      </c>
      <c r="K27" s="14"/>
      <c r="L27" s="14">
        <v>863000</v>
      </c>
      <c r="M27" s="14"/>
      <c r="N27" s="14">
        <v>444000</v>
      </c>
      <c r="O27" s="14"/>
      <c r="P27" s="14">
        <v>3082000</v>
      </c>
      <c r="Q27" s="14"/>
      <c r="R27" s="14">
        <v>-506000</v>
      </c>
      <c r="S27" s="14"/>
      <c r="T27" s="14">
        <f>SUM(H27:R27)</f>
        <v>142026500</v>
      </c>
      <c r="V27" s="47">
        <f>J27+R27</f>
        <v>-44881200</v>
      </c>
    </row>
    <row r="28" spans="1:22">
      <c r="A28" s="14" t="s">
        <v>19</v>
      </c>
      <c r="B28" s="14">
        <v>21748</v>
      </c>
      <c r="C28" s="14"/>
      <c r="D28" s="54">
        <v>453</v>
      </c>
      <c r="E28" s="54"/>
      <c r="F28" s="14">
        <v>1925.5</v>
      </c>
      <c r="G28" s="14"/>
      <c r="H28" s="14">
        <f>ROUND(202339985,-2)</f>
        <v>202340000</v>
      </c>
      <c r="I28" s="14"/>
      <c r="J28" s="14">
        <v>-38205400</v>
      </c>
      <c r="K28" s="14"/>
      <c r="L28" s="14">
        <v>-744000</v>
      </c>
      <c r="M28" s="14"/>
      <c r="N28" s="14">
        <v>4137000</v>
      </c>
      <c r="O28" s="14"/>
      <c r="P28" s="14">
        <v>2964000</v>
      </c>
      <c r="Q28" s="14"/>
      <c r="R28" s="14">
        <v>-427000</v>
      </c>
      <c r="S28" s="14"/>
      <c r="T28" s="14">
        <f>SUM(H28:R28)</f>
        <v>170064600</v>
      </c>
      <c r="V28" s="47">
        <f>J28+R28</f>
        <v>-38632400</v>
      </c>
    </row>
    <row r="29" spans="1:22">
      <c r="A29" s="14" t="s">
        <v>20</v>
      </c>
      <c r="B29" s="14">
        <v>16517</v>
      </c>
      <c r="C29" s="14"/>
      <c r="D29" s="54">
        <v>344</v>
      </c>
      <c r="E29" s="54"/>
      <c r="F29" s="14">
        <v>1894.8</v>
      </c>
      <c r="G29" s="14"/>
      <c r="H29" s="14">
        <v>164229000</v>
      </c>
      <c r="I29" s="14"/>
      <c r="J29" s="14">
        <v>-13281500</v>
      </c>
      <c r="K29" s="14"/>
      <c r="L29" s="14">
        <v>11000</v>
      </c>
      <c r="M29" s="14"/>
      <c r="N29" s="14">
        <v>1930000</v>
      </c>
      <c r="O29" s="14"/>
      <c r="P29" s="14">
        <v>1964000</v>
      </c>
      <c r="Q29" s="14"/>
      <c r="R29" s="14">
        <v>-184000</v>
      </c>
      <c r="S29" s="14"/>
      <c r="T29" s="14">
        <f>SUM(H29:R29)</f>
        <v>154668500</v>
      </c>
      <c r="V29" s="47">
        <f>J29+R29</f>
        <v>-13465500</v>
      </c>
    </row>
    <row r="30" spans="1:22">
      <c r="A30" s="14" t="s">
        <v>21</v>
      </c>
      <c r="B30" s="14">
        <v>8391</v>
      </c>
      <c r="C30" s="14"/>
      <c r="D30" s="54">
        <v>580</v>
      </c>
      <c r="E30" s="54"/>
      <c r="F30" s="14">
        <v>213.9</v>
      </c>
      <c r="G30" s="14"/>
      <c r="H30" s="14">
        <v>66479000</v>
      </c>
      <c r="I30" s="14"/>
      <c r="J30" s="14">
        <v>-16167800</v>
      </c>
      <c r="K30" s="14"/>
      <c r="L30" s="14">
        <v>-2162000</v>
      </c>
      <c r="M30" s="14"/>
      <c r="N30" s="14">
        <v>280000</v>
      </c>
      <c r="O30" s="14"/>
      <c r="P30" s="14">
        <v>3724000</v>
      </c>
      <c r="Q30" s="14"/>
      <c r="R30" s="14">
        <v>-616000</v>
      </c>
      <c r="S30" s="14"/>
      <c r="T30" s="14">
        <f>SUM(H30:R30)</f>
        <v>51537200</v>
      </c>
      <c r="V30" s="47">
        <f>J30+R30</f>
        <v>-16783800</v>
      </c>
    </row>
    <row r="31" spans="1:22">
      <c r="A31" s="14" t="s">
        <v>22</v>
      </c>
      <c r="B31" s="14">
        <v>7810</v>
      </c>
      <c r="C31" s="14"/>
      <c r="D31" s="54">
        <v>250</v>
      </c>
      <c r="E31" s="54"/>
      <c r="F31" s="14">
        <v>68.099999999999994</v>
      </c>
      <c r="G31" s="14"/>
      <c r="H31" s="14">
        <f>ROUND(49833950,-2)</f>
        <v>49834000</v>
      </c>
      <c r="I31" s="14"/>
      <c r="J31" s="14">
        <v>-9750100</v>
      </c>
      <c r="K31" s="14"/>
      <c r="L31" s="14">
        <v>-182000</v>
      </c>
      <c r="M31" s="14"/>
      <c r="N31" s="14">
        <v>-63000</v>
      </c>
      <c r="O31" s="14"/>
      <c r="P31" s="14">
        <v>1485000</v>
      </c>
      <c r="Q31" s="14"/>
      <c r="R31" s="14">
        <v>-201000</v>
      </c>
      <c r="S31" s="14"/>
      <c r="T31" s="14">
        <f>SUM(H31:R31)</f>
        <v>41122900</v>
      </c>
      <c r="V31" s="47">
        <f>J31+R31</f>
        <v>-9951100</v>
      </c>
    </row>
    <row r="32" spans="1:22">
      <c r="A32" s="14" t="s">
        <v>23</v>
      </c>
      <c r="B32" s="14">
        <v>7077</v>
      </c>
      <c r="C32" s="14"/>
      <c r="D32" s="54">
        <v>329</v>
      </c>
      <c r="E32" s="54"/>
      <c r="F32" s="14">
        <v>81</v>
      </c>
      <c r="G32" s="14"/>
      <c r="H32" s="14">
        <f>ROUND(49338082,-2)</f>
        <v>49338100</v>
      </c>
      <c r="I32" s="14"/>
      <c r="J32" s="14">
        <v>-15558500</v>
      </c>
      <c r="K32" s="14"/>
      <c r="L32" s="14">
        <v>-733000</v>
      </c>
      <c r="M32" s="14"/>
      <c r="N32" s="14">
        <v>-7000</v>
      </c>
      <c r="O32" s="14"/>
      <c r="P32" s="14">
        <v>2097000</v>
      </c>
      <c r="Q32" s="14"/>
      <c r="R32" s="14">
        <v>-441000</v>
      </c>
      <c r="S32" s="14"/>
      <c r="T32" s="14">
        <f>SUM(H32:R32)</f>
        <v>34695600</v>
      </c>
      <c r="V32" s="47">
        <f>J32+R32</f>
        <v>-15999500</v>
      </c>
    </row>
    <row r="33" spans="1:23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1"/>
      <c r="S33" s="41"/>
      <c r="T33" s="14"/>
      <c r="V33" s="46"/>
    </row>
    <row r="34" spans="1:23">
      <c r="A34" s="11" t="s">
        <v>24</v>
      </c>
      <c r="B34" s="11">
        <f t="shared" ref="B34:V34" si="0">SUM(B10:B32)</f>
        <v>344761</v>
      </c>
      <c r="C34" s="11"/>
      <c r="D34" s="11">
        <f t="shared" si="0"/>
        <v>10314</v>
      </c>
      <c r="E34" s="11"/>
      <c r="F34" s="11">
        <f t="shared" si="0"/>
        <v>18612.400000000001</v>
      </c>
      <c r="G34" s="11"/>
      <c r="H34" s="11">
        <f t="shared" si="0"/>
        <v>2685813600</v>
      </c>
      <c r="I34" s="11"/>
      <c r="J34" s="11">
        <f t="shared" si="0"/>
        <v>-644328800</v>
      </c>
      <c r="K34" s="11"/>
      <c r="L34" s="11">
        <f t="shared" si="0"/>
        <v>-12838000</v>
      </c>
      <c r="M34" s="11"/>
      <c r="N34" s="11">
        <f t="shared" si="0"/>
        <v>20717000</v>
      </c>
      <c r="O34" s="11"/>
      <c r="P34" s="11">
        <f t="shared" si="0"/>
        <v>64670000</v>
      </c>
      <c r="Q34" s="11"/>
      <c r="R34" s="11">
        <f t="shared" si="0"/>
        <v>-11377000</v>
      </c>
      <c r="S34" s="11"/>
      <c r="T34" s="11">
        <f t="shared" si="0"/>
        <v>2102656800</v>
      </c>
      <c r="U34" s="48"/>
      <c r="V34" s="27">
        <f t="shared" si="0"/>
        <v>-655705800</v>
      </c>
    </row>
    <row r="35" spans="1:23" ht="6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V35" s="46"/>
    </row>
    <row r="36" spans="1:23">
      <c r="A36" s="14" t="s">
        <v>25</v>
      </c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V36" s="46"/>
    </row>
    <row r="37" spans="1:23">
      <c r="A37" s="14" t="s">
        <v>59</v>
      </c>
      <c r="B37" s="14">
        <v>606</v>
      </c>
      <c r="C37" s="14"/>
      <c r="D37" s="14">
        <v>53</v>
      </c>
      <c r="E37" s="14"/>
      <c r="F37" s="14">
        <v>1</v>
      </c>
      <c r="G37" s="14"/>
      <c r="H37" s="14"/>
      <c r="I37" s="14"/>
      <c r="J37" s="14"/>
      <c r="K37" s="14"/>
      <c r="L37" s="14"/>
      <c r="M37" s="14"/>
      <c r="N37" s="14">
        <v>6000</v>
      </c>
      <c r="O37" s="14"/>
      <c r="P37" s="12">
        <v>371000</v>
      </c>
      <c r="Q37" s="12"/>
      <c r="R37" s="12"/>
      <c r="S37" s="12"/>
      <c r="T37" s="14">
        <f>SUM(H37:R37)</f>
        <v>377000</v>
      </c>
      <c r="V37" s="46"/>
    </row>
    <row r="38" spans="1:23">
      <c r="A38" s="14" t="s">
        <v>26</v>
      </c>
      <c r="B38" s="14">
        <v>632</v>
      </c>
      <c r="C38" s="14"/>
      <c r="D38" s="14">
        <v>28</v>
      </c>
      <c r="E38" s="14"/>
      <c r="F38" s="14">
        <v>14.3</v>
      </c>
      <c r="G38" s="14"/>
      <c r="H38" s="14">
        <v>2998000</v>
      </c>
      <c r="I38" s="14"/>
      <c r="J38" s="14"/>
      <c r="K38" s="14"/>
      <c r="L38" s="14"/>
      <c r="M38" s="14"/>
      <c r="N38" s="14">
        <v>36000</v>
      </c>
      <c r="O38" s="14"/>
      <c r="P38" s="14"/>
      <c r="Q38" s="14"/>
      <c r="R38" s="14"/>
      <c r="S38" s="14"/>
      <c r="T38" s="14">
        <f>SUM(H38:R38)</f>
        <v>3034000</v>
      </c>
      <c r="V38" s="46"/>
    </row>
    <row r="39" spans="1:23">
      <c r="A39" s="14" t="s">
        <v>27</v>
      </c>
      <c r="B39" s="14">
        <v>51</v>
      </c>
      <c r="C39" s="14"/>
      <c r="D39" s="14">
        <v>5</v>
      </c>
      <c r="E39" s="14"/>
      <c r="F39" s="14">
        <v>2.7</v>
      </c>
      <c r="G39" s="14"/>
      <c r="H39" s="14">
        <v>653000</v>
      </c>
      <c r="I39" s="14"/>
      <c r="J39" s="14"/>
      <c r="K39" s="14"/>
      <c r="L39" s="14"/>
      <c r="M39" s="14"/>
      <c r="N39" s="14"/>
      <c r="O39" s="14"/>
      <c r="P39" s="14">
        <v>61000</v>
      </c>
      <c r="Q39" s="14"/>
      <c r="R39" s="14"/>
      <c r="S39" s="14"/>
      <c r="T39" s="14">
        <f>SUM(H39:R39)</f>
        <v>714000</v>
      </c>
      <c r="V39" s="46"/>
    </row>
    <row r="40" spans="1:23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V40" s="46"/>
    </row>
    <row r="41" spans="1:23" ht="15.75" thickBot="1">
      <c r="A41" s="10" t="s">
        <v>29</v>
      </c>
      <c r="B41" s="10">
        <f>SUM(B34:B40)</f>
        <v>346050</v>
      </c>
      <c r="C41" s="10"/>
      <c r="D41" s="10">
        <f>SUM(D34:D40)</f>
        <v>10400</v>
      </c>
      <c r="E41" s="10"/>
      <c r="F41" s="10">
        <f>SUM(F34:F40)</f>
        <v>18630.400000000001</v>
      </c>
      <c r="G41" s="10"/>
      <c r="H41" s="10">
        <f t="shared" ref="H41:V41" si="1">SUM(H34:H39)</f>
        <v>2689464600</v>
      </c>
      <c r="I41" s="10"/>
      <c r="J41" s="10">
        <f t="shared" si="1"/>
        <v>-644328800</v>
      </c>
      <c r="K41" s="10"/>
      <c r="L41" s="10">
        <f t="shared" si="1"/>
        <v>-12838000</v>
      </c>
      <c r="M41" s="10"/>
      <c r="N41" s="10">
        <f t="shared" si="1"/>
        <v>20759000</v>
      </c>
      <c r="O41" s="10"/>
      <c r="P41" s="10">
        <f t="shared" si="1"/>
        <v>65102000</v>
      </c>
      <c r="Q41" s="10"/>
      <c r="R41" s="10">
        <f t="shared" si="1"/>
        <v>-11377000</v>
      </c>
      <c r="S41" s="10"/>
      <c r="T41" s="10">
        <f>SUM(T34:T39)</f>
        <v>2106781800</v>
      </c>
      <c r="U41" s="49"/>
      <c r="V41" s="25">
        <f t="shared" si="1"/>
        <v>-655705800</v>
      </c>
    </row>
    <row r="42" spans="1:23" ht="9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V42" s="41"/>
      <c r="W42" s="41"/>
    </row>
    <row r="43" spans="1:23" ht="17.45" customHeight="1">
      <c r="A43" s="45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2"/>
      <c r="O43" s="52"/>
      <c r="P43" s="14"/>
      <c r="Q43" s="14"/>
      <c r="R43" s="55"/>
      <c r="S43" s="55"/>
      <c r="T43" s="14"/>
      <c r="V43" s="41"/>
      <c r="W43" s="41"/>
    </row>
    <row r="44" spans="1:23" ht="31.9" customHeight="1">
      <c r="A44" s="58" t="s">
        <v>73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V44" s="41"/>
      <c r="W44" s="41"/>
    </row>
    <row r="45" spans="1:23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V45" s="29"/>
    </row>
    <row r="46" spans="1:23">
      <c r="V46" s="29"/>
    </row>
    <row r="47" spans="1:23">
      <c r="V47" s="29"/>
    </row>
    <row r="48" spans="1:23">
      <c r="V48" s="14"/>
    </row>
    <row r="49" spans="22:22">
      <c r="V49" s="14"/>
    </row>
  </sheetData>
  <mergeCells count="2">
    <mergeCell ref="A44:T44"/>
    <mergeCell ref="L6:R6"/>
  </mergeCells>
  <printOptions horizontalCentered="1"/>
  <pageMargins left="0.75" right="0.5" top="0.75" bottom="0.5" header="0.3" footer="0.3"/>
  <pageSetup paperSize="17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Attach A-15-16-GF Summ</vt:lpstr>
      <vt:lpstr>Attach B-Adj to Base GF</vt:lpstr>
      <vt:lpstr>Attach C-Prelim New GF</vt:lpstr>
      <vt:lpstr>Attach D-net-tuition-rev</vt:lpstr>
      <vt:lpstr>'Attach B-Adj to Base GF'!Print_Area</vt:lpstr>
      <vt:lpstr>'Attach C-Prelim New GF'!Print_Area</vt:lpstr>
    </vt:vector>
  </TitlesOfParts>
  <Company>Office of the Chancellor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Rideau, Rodney</dc:creator>
  <cp:lastModifiedBy>Amy Tang</cp:lastModifiedBy>
  <cp:lastPrinted>2015-07-30T15:45:25Z</cp:lastPrinted>
  <dcterms:created xsi:type="dcterms:W3CDTF">2015-03-23T19:18:44Z</dcterms:created>
  <dcterms:modified xsi:type="dcterms:W3CDTF">2015-07-30T16:06:58Z</dcterms:modified>
</cp:coreProperties>
</file>