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ate1904="1" defaultThemeVersion="166925"/>
  <mc:AlternateContent xmlns:mc="http://schemas.openxmlformats.org/markup-compatibility/2006">
    <mc:Choice Requires="x15">
      <x15ac:absPath xmlns:x15ac="http://schemas.microsoft.com/office/spreadsheetml/2010/11/ac" url="/Users/kputirka/Documents/Templates/"/>
    </mc:Choice>
  </mc:AlternateContent>
  <xr:revisionPtr revIDLastSave="0" documentId="13_ncr:1_{DA19BC90-F842-E54C-A7D4-672A63980374}" xr6:coauthVersionLast="45" xr6:coauthVersionMax="45" xr10:uidLastSave="{00000000-0000-0000-0000-000000000000}"/>
  <bookViews>
    <workbookView xWindow="4180" yWindow="880" windowWidth="25180" windowHeight="16800" tabRatio="500" xr2:uid="{00000000-000D-0000-FFFF-FFFF00000000}"/>
  </bookViews>
  <sheets>
    <sheet name="Instructions" sheetId="3" r:id="rId1"/>
    <sheet name="Opx-liquid Input &amp; Models" sheetId="1" r:id="rId2"/>
    <sheet name="Rhodes Diagram" sheetId="5" r:id="rId3"/>
    <sheet name="Rhodes Diagram Calcs" sheetId="4" r:id="rId4"/>
  </sheets>
  <calcPr calcId="191029" iterate="1" iterateCount="50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M17" i="1" l="1"/>
  <c r="BM18" i="1"/>
  <c r="BM19" i="1"/>
  <c r="BM20" i="1"/>
  <c r="BM21" i="1"/>
  <c r="BM22" i="1"/>
  <c r="BM23" i="1"/>
  <c r="BM24" i="1"/>
  <c r="BM25" i="1"/>
  <c r="BM26" i="1"/>
  <c r="BM27" i="1"/>
  <c r="BM28" i="1"/>
  <c r="BM29" i="1"/>
  <c r="BM16" i="1"/>
  <c r="AO17" i="1" l="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P16" i="1"/>
  <c r="AO16" i="1"/>
  <c r="BD11" i="1"/>
  <c r="BI11" i="1"/>
  <c r="BJ11" i="1"/>
  <c r="BK11" i="1"/>
  <c r="BL11" i="1"/>
  <c r="BM11" i="1"/>
  <c r="CK11" i="1"/>
  <c r="CL11" i="1"/>
  <c r="T16" i="1"/>
  <c r="AH16" i="1"/>
  <c r="AX16" i="1"/>
  <c r="AY16" i="1"/>
  <c r="AV16" i="1"/>
  <c r="BB16" i="1"/>
  <c r="BC16" i="1"/>
  <c r="BD16" i="1"/>
  <c r="BE16" i="1"/>
  <c r="BF16" i="1"/>
  <c r="BG16" i="1"/>
  <c r="AZ16" i="1"/>
  <c r="BH16" i="1"/>
  <c r="BI16" i="1"/>
  <c r="BL16" i="1"/>
  <c r="CB16" i="1"/>
  <c r="CC16" i="1"/>
  <c r="CR16" i="1"/>
  <c r="CD16" i="1"/>
  <c r="CE16" i="1"/>
  <c r="CF16" i="1"/>
  <c r="CG16" i="1"/>
  <c r="CH16" i="1"/>
  <c r="CI16" i="1"/>
  <c r="CX16" i="1"/>
  <c r="CJ16" i="1"/>
  <c r="CS16" i="1"/>
  <c r="CT16" i="1"/>
  <c r="CW16" i="1"/>
  <c r="EI16" i="1"/>
  <c r="EL16" i="1"/>
  <c r="EP16" i="1"/>
  <c r="T17" i="1"/>
  <c r="AH17" i="1"/>
  <c r="AX17" i="1"/>
  <c r="AV17" i="1"/>
  <c r="AY17" i="1"/>
  <c r="BB17" i="1"/>
  <c r="BC17" i="1"/>
  <c r="BD17" i="1"/>
  <c r="BE17" i="1"/>
  <c r="BF17" i="1"/>
  <c r="BG17" i="1"/>
  <c r="BH17" i="1"/>
  <c r="BI17" i="1"/>
  <c r="BJ17" i="1"/>
  <c r="BL17" i="1"/>
  <c r="CB17" i="1"/>
  <c r="CC17" i="1"/>
  <c r="CD17" i="1"/>
  <c r="CE17" i="1"/>
  <c r="CF17" i="1"/>
  <c r="CG17" i="1"/>
  <c r="BA17" i="1"/>
  <c r="CH17" i="1"/>
  <c r="CI17" i="1"/>
  <c r="CJ17" i="1"/>
  <c r="CQ17" i="1"/>
  <c r="CR17" i="1"/>
  <c r="CU17" i="1"/>
  <c r="CV17" i="1"/>
  <c r="CY17" i="1"/>
  <c r="EI17" i="1"/>
  <c r="EL17" i="1"/>
  <c r="EP17" i="1"/>
  <c r="T18" i="1"/>
  <c r="AH18" i="1"/>
  <c r="AV18" i="1"/>
  <c r="AX18" i="1"/>
  <c r="AY18" i="1"/>
  <c r="BB18" i="1"/>
  <c r="BC18" i="1"/>
  <c r="BD18" i="1"/>
  <c r="BE18" i="1"/>
  <c r="BF18" i="1"/>
  <c r="BG18" i="1"/>
  <c r="BH18" i="1"/>
  <c r="BI18" i="1"/>
  <c r="BJ18" i="1"/>
  <c r="BL18" i="1"/>
  <c r="CB18" i="1"/>
  <c r="CC18" i="1"/>
  <c r="CD18" i="1"/>
  <c r="CE18" i="1"/>
  <c r="CT18" i="1"/>
  <c r="CF18" i="1"/>
  <c r="CG18" i="1"/>
  <c r="CH18" i="1"/>
  <c r="CI18" i="1"/>
  <c r="CX18" i="1"/>
  <c r="CJ18" i="1"/>
  <c r="CK18" i="1"/>
  <c r="CZ18" i="1"/>
  <c r="CL18" i="1"/>
  <c r="CQ18" i="1"/>
  <c r="CU18" i="1"/>
  <c r="CV18" i="1"/>
  <c r="CY18" i="1"/>
  <c r="EI18" i="1"/>
  <c r="EL18" i="1"/>
  <c r="EP18" i="1"/>
  <c r="T19" i="1"/>
  <c r="AH19" i="1"/>
  <c r="AV19" i="1"/>
  <c r="AX19" i="1"/>
  <c r="AY19" i="1"/>
  <c r="BB19" i="1"/>
  <c r="BC19" i="1"/>
  <c r="BD19" i="1"/>
  <c r="BE19" i="1"/>
  <c r="BF19" i="1"/>
  <c r="BG19" i="1"/>
  <c r="BH19" i="1"/>
  <c r="BI19" i="1"/>
  <c r="BL19" i="1"/>
  <c r="CB19" i="1"/>
  <c r="CC19" i="1"/>
  <c r="CD19" i="1"/>
  <c r="CS19" i="1"/>
  <c r="CE19" i="1"/>
  <c r="CF19" i="1"/>
  <c r="CG19" i="1"/>
  <c r="CH19" i="1"/>
  <c r="CW19" i="1"/>
  <c r="CI19" i="1"/>
  <c r="CJ19" i="1"/>
  <c r="CK19" i="1"/>
  <c r="CT19" i="1"/>
  <c r="CU19" i="1"/>
  <c r="CX19" i="1"/>
  <c r="EI19" i="1"/>
  <c r="EL19" i="1"/>
  <c r="EP19" i="1"/>
  <c r="T20" i="1"/>
  <c r="AH20" i="1"/>
  <c r="AV20" i="1"/>
  <c r="AX20" i="1"/>
  <c r="AY20" i="1"/>
  <c r="BA20" i="1"/>
  <c r="BB20" i="1"/>
  <c r="BC20" i="1"/>
  <c r="BD20" i="1"/>
  <c r="BE20" i="1"/>
  <c r="BF20" i="1"/>
  <c r="BG20" i="1"/>
  <c r="BH20" i="1"/>
  <c r="BI20" i="1"/>
  <c r="BL20" i="1"/>
  <c r="CB20" i="1"/>
  <c r="CC20" i="1"/>
  <c r="CD20" i="1"/>
  <c r="CE20" i="1"/>
  <c r="CF20" i="1"/>
  <c r="CU20" i="1"/>
  <c r="CG20" i="1"/>
  <c r="CH20" i="1"/>
  <c r="CI20" i="1"/>
  <c r="CJ20" i="1"/>
  <c r="CK20" i="1"/>
  <c r="CQ20" i="1"/>
  <c r="CS20" i="1"/>
  <c r="CT20" i="1"/>
  <c r="CW20" i="1"/>
  <c r="CX20" i="1"/>
  <c r="CY20" i="1"/>
  <c r="EI20" i="1"/>
  <c r="EL20" i="1"/>
  <c r="EP20" i="1"/>
  <c r="T21" i="1"/>
  <c r="AH21" i="1"/>
  <c r="AX21" i="1"/>
  <c r="AY21" i="1"/>
  <c r="AZ21" i="1"/>
  <c r="BB21" i="1"/>
  <c r="BC21" i="1"/>
  <c r="BD21" i="1"/>
  <c r="BE21" i="1"/>
  <c r="BF21" i="1"/>
  <c r="BG21" i="1"/>
  <c r="BH21" i="1"/>
  <c r="BI21" i="1"/>
  <c r="BJ21" i="1"/>
  <c r="BK21" i="1"/>
  <c r="BL21" i="1"/>
  <c r="CB21" i="1"/>
  <c r="CC21" i="1"/>
  <c r="CD21" i="1"/>
  <c r="CE21" i="1"/>
  <c r="CT21" i="1"/>
  <c r="CF21" i="1"/>
  <c r="CG21" i="1"/>
  <c r="CH21" i="1"/>
  <c r="CI21" i="1"/>
  <c r="CX21" i="1"/>
  <c r="CJ21" i="1"/>
  <c r="CK21" i="1"/>
  <c r="CR21" i="1"/>
  <c r="CS21" i="1"/>
  <c r="CV21" i="1"/>
  <c r="CW21" i="1"/>
  <c r="CZ21" i="1"/>
  <c r="EI21" i="1"/>
  <c r="EL21" i="1"/>
  <c r="EP21" i="1"/>
  <c r="T22" i="1"/>
  <c r="AH22" i="1"/>
  <c r="AX22" i="1"/>
  <c r="AV22" i="1"/>
  <c r="AY22" i="1"/>
  <c r="BB22" i="1"/>
  <c r="BC22" i="1"/>
  <c r="BN22" i="1"/>
  <c r="BD22" i="1"/>
  <c r="BE22" i="1"/>
  <c r="BF22" i="1"/>
  <c r="BG22" i="1"/>
  <c r="BH22" i="1"/>
  <c r="BI22" i="1"/>
  <c r="BJ22" i="1"/>
  <c r="BK22" i="1"/>
  <c r="BL22" i="1"/>
  <c r="CB22" i="1"/>
  <c r="CC22" i="1"/>
  <c r="CD22" i="1"/>
  <c r="CE22" i="1"/>
  <c r="CF22" i="1"/>
  <c r="CO22" i="1"/>
  <c r="CG22" i="1"/>
  <c r="CH22" i="1"/>
  <c r="CI22" i="1"/>
  <c r="CJ22" i="1"/>
  <c r="CK22" i="1"/>
  <c r="CL22" i="1"/>
  <c r="CR22" i="1"/>
  <c r="CS22" i="1"/>
  <c r="CT22" i="1"/>
  <c r="CV22" i="1"/>
  <c r="CW22" i="1"/>
  <c r="CX22" i="1"/>
  <c r="CZ22" i="1"/>
  <c r="DA22" i="1"/>
  <c r="EI22" i="1"/>
  <c r="EL22" i="1"/>
  <c r="EP22" i="1"/>
  <c r="T23" i="1"/>
  <c r="AH23" i="1"/>
  <c r="AX23" i="1"/>
  <c r="AV23" i="1"/>
  <c r="AY23" i="1"/>
  <c r="BB23" i="1"/>
  <c r="BC23" i="1"/>
  <c r="BN23" i="1"/>
  <c r="BQ23" i="1" s="1"/>
  <c r="BD23" i="1"/>
  <c r="BE23" i="1"/>
  <c r="BF23" i="1"/>
  <c r="BG23" i="1"/>
  <c r="BH23" i="1"/>
  <c r="BI23" i="1"/>
  <c r="BJ23" i="1"/>
  <c r="BK23" i="1"/>
  <c r="BL23" i="1"/>
  <c r="BZ23" i="1"/>
  <c r="CB23" i="1"/>
  <c r="CC23" i="1"/>
  <c r="CD23" i="1"/>
  <c r="CE23" i="1"/>
  <c r="CF23" i="1"/>
  <c r="CG23" i="1"/>
  <c r="CH23" i="1"/>
  <c r="CW23" i="1"/>
  <c r="CI23" i="1"/>
  <c r="CJ23" i="1"/>
  <c r="CK23" i="1"/>
  <c r="CL23" i="1"/>
  <c r="CQ23" i="1"/>
  <c r="CR23" i="1"/>
  <c r="CS23" i="1"/>
  <c r="CU23" i="1"/>
  <c r="CV23" i="1"/>
  <c r="CY23" i="1"/>
  <c r="CZ23" i="1"/>
  <c r="EI23" i="1"/>
  <c r="EL23" i="1"/>
  <c r="EP23" i="1"/>
  <c r="T24" i="1"/>
  <c r="AH24" i="1"/>
  <c r="AV24" i="1"/>
  <c r="AX24" i="1"/>
  <c r="AY24" i="1"/>
  <c r="BB24" i="1"/>
  <c r="BC24" i="1"/>
  <c r="BD24" i="1"/>
  <c r="BE24" i="1"/>
  <c r="BF24" i="1"/>
  <c r="BG24" i="1"/>
  <c r="BH24" i="1"/>
  <c r="BI24" i="1"/>
  <c r="BJ24" i="1"/>
  <c r="BK24" i="1"/>
  <c r="BL24" i="1"/>
  <c r="CB24" i="1"/>
  <c r="CC24" i="1"/>
  <c r="CD24" i="1"/>
  <c r="CS24" i="1"/>
  <c r="CE24" i="1"/>
  <c r="CF24" i="1"/>
  <c r="CU24" i="1"/>
  <c r="CG24" i="1"/>
  <c r="CH24" i="1"/>
  <c r="CI24" i="1"/>
  <c r="CJ24" i="1"/>
  <c r="CK24" i="1"/>
  <c r="CL24" i="1"/>
  <c r="CQ24" i="1"/>
  <c r="CR24" i="1"/>
  <c r="CT24" i="1"/>
  <c r="CX24" i="1"/>
  <c r="CY24" i="1"/>
  <c r="EI24" i="1"/>
  <c r="EL24" i="1"/>
  <c r="EP24" i="1"/>
  <c r="T25" i="1"/>
  <c r="AH25" i="1"/>
  <c r="AX25" i="1"/>
  <c r="AV25" i="1"/>
  <c r="AY25" i="1"/>
  <c r="BB25" i="1"/>
  <c r="BC25" i="1"/>
  <c r="BD25" i="1"/>
  <c r="BE25" i="1"/>
  <c r="BF25" i="1"/>
  <c r="BG25" i="1"/>
  <c r="AZ25" i="1"/>
  <c r="BH25" i="1"/>
  <c r="BI25" i="1"/>
  <c r="BJ25" i="1"/>
  <c r="BK25" i="1"/>
  <c r="BL25" i="1"/>
  <c r="BN25" i="1"/>
  <c r="CB25" i="1"/>
  <c r="CC25" i="1"/>
  <c r="CD25" i="1"/>
  <c r="CE25" i="1"/>
  <c r="CT25" i="1"/>
  <c r="CF25" i="1"/>
  <c r="CG25" i="1"/>
  <c r="BA25" i="1"/>
  <c r="CH25" i="1"/>
  <c r="CI25" i="1"/>
  <c r="CX25" i="1"/>
  <c r="CJ25" i="1"/>
  <c r="CK25" i="1"/>
  <c r="CL25" i="1"/>
  <c r="CQ25" i="1"/>
  <c r="CR25" i="1"/>
  <c r="CU25" i="1"/>
  <c r="CV25" i="1"/>
  <c r="CY25" i="1"/>
  <c r="CZ25" i="1"/>
  <c r="EI25" i="1"/>
  <c r="EL25" i="1"/>
  <c r="EP25" i="1"/>
  <c r="T26" i="1"/>
  <c r="AH26" i="1"/>
  <c r="AV26" i="1"/>
  <c r="AX26" i="1"/>
  <c r="AY26" i="1"/>
  <c r="BA26" i="1"/>
  <c r="BB26" i="1"/>
  <c r="BC26" i="1"/>
  <c r="BD26" i="1"/>
  <c r="BE26" i="1"/>
  <c r="BF26" i="1"/>
  <c r="BG26" i="1"/>
  <c r="BH26" i="1"/>
  <c r="BI26" i="1"/>
  <c r="BJ26" i="1"/>
  <c r="BK26" i="1"/>
  <c r="BL26" i="1"/>
  <c r="CB26" i="1"/>
  <c r="CM26" i="1"/>
  <c r="CC26" i="1"/>
  <c r="CD26" i="1"/>
  <c r="CS26" i="1"/>
  <c r="CE26" i="1"/>
  <c r="CF26" i="1"/>
  <c r="CG26" i="1"/>
  <c r="CH26" i="1"/>
  <c r="CW26" i="1"/>
  <c r="CI26" i="1"/>
  <c r="CJ26" i="1"/>
  <c r="CK26" i="1"/>
  <c r="CL26" i="1"/>
  <c r="DA26" i="1"/>
  <c r="CQ26" i="1"/>
  <c r="CT26" i="1"/>
  <c r="CU26" i="1"/>
  <c r="CX26" i="1"/>
  <c r="CY26" i="1"/>
  <c r="EI26" i="1"/>
  <c r="EL26" i="1"/>
  <c r="EP26" i="1"/>
  <c r="T27" i="1"/>
  <c r="AH27" i="1"/>
  <c r="AV27" i="1"/>
  <c r="AX27" i="1"/>
  <c r="AY27" i="1"/>
  <c r="BB27" i="1"/>
  <c r="BC27" i="1"/>
  <c r="BD27" i="1"/>
  <c r="BE27" i="1"/>
  <c r="BF27" i="1"/>
  <c r="BG27" i="1"/>
  <c r="AZ27" i="1"/>
  <c r="BH27" i="1"/>
  <c r="BI27" i="1"/>
  <c r="BJ27" i="1"/>
  <c r="BK27" i="1"/>
  <c r="BL27" i="1"/>
  <c r="CB27" i="1"/>
  <c r="CQ27" i="1"/>
  <c r="CC27" i="1"/>
  <c r="CR27" i="1"/>
  <c r="CD27" i="1"/>
  <c r="CE27" i="1"/>
  <c r="CO27" i="1"/>
  <c r="CF27" i="1"/>
  <c r="CG27" i="1"/>
  <c r="CH27" i="1"/>
  <c r="CI27" i="1"/>
  <c r="CX27" i="1"/>
  <c r="CJ27" i="1"/>
  <c r="CK27" i="1"/>
  <c r="CL27" i="1"/>
  <c r="CM27" i="1"/>
  <c r="CS27" i="1"/>
  <c r="CT27" i="1"/>
  <c r="CU27" i="1"/>
  <c r="CW27" i="1"/>
  <c r="CY27" i="1"/>
  <c r="DA27" i="1"/>
  <c r="EI27" i="1"/>
  <c r="EL27" i="1"/>
  <c r="EP27" i="1"/>
  <c r="T28" i="1"/>
  <c r="AH28" i="1"/>
  <c r="AX28" i="1"/>
  <c r="AV28" i="1"/>
  <c r="AY28" i="1"/>
  <c r="BB28" i="1"/>
  <c r="BC28" i="1"/>
  <c r="BP28" i="1"/>
  <c r="BD28" i="1"/>
  <c r="BE28" i="1"/>
  <c r="BF28" i="1"/>
  <c r="BG28" i="1"/>
  <c r="AZ28" i="1"/>
  <c r="BH28" i="1"/>
  <c r="BI28" i="1"/>
  <c r="BJ28" i="1"/>
  <c r="BW28" i="1"/>
  <c r="BK28" i="1"/>
  <c r="BL28" i="1"/>
  <c r="BY28" i="1"/>
  <c r="BN28" i="1"/>
  <c r="BS28" i="1" s="1"/>
  <c r="BV28" i="1"/>
  <c r="BZ28" i="1"/>
  <c r="CB28" i="1"/>
  <c r="CC28" i="1"/>
  <c r="CD28" i="1"/>
  <c r="CM28" i="1"/>
  <c r="CE28" i="1"/>
  <c r="CO28" i="1"/>
  <c r="CF28" i="1"/>
  <c r="CG28" i="1"/>
  <c r="BA28" i="1"/>
  <c r="CH28" i="1"/>
  <c r="CW28" i="1"/>
  <c r="CI28" i="1"/>
  <c r="CX28" i="1"/>
  <c r="CJ28" i="1"/>
  <c r="CK28" i="1"/>
  <c r="CL28" i="1"/>
  <c r="DA28" i="1"/>
  <c r="CQ28" i="1"/>
  <c r="CR28" i="1"/>
  <c r="CU28" i="1"/>
  <c r="CV28" i="1"/>
  <c r="CY28" i="1"/>
  <c r="CZ28" i="1"/>
  <c r="EI28" i="1"/>
  <c r="EL28" i="1"/>
  <c r="EP28" i="1"/>
  <c r="T29" i="1"/>
  <c r="AH29" i="1"/>
  <c r="AV29" i="1"/>
  <c r="AX29" i="1"/>
  <c r="AY29" i="1"/>
  <c r="BB29" i="1"/>
  <c r="BC29" i="1"/>
  <c r="BD29" i="1"/>
  <c r="BE29" i="1"/>
  <c r="BN29" i="1"/>
  <c r="BO29" i="1" s="1"/>
  <c r="BF29" i="1"/>
  <c r="BS29" i="1"/>
  <c r="BG29" i="1"/>
  <c r="AZ29" i="1"/>
  <c r="BH29" i="1"/>
  <c r="BI29" i="1"/>
  <c r="BV29" i="1"/>
  <c r="BJ29" i="1"/>
  <c r="BK29" i="1"/>
  <c r="BL29" i="1"/>
  <c r="BZ29" i="1"/>
  <c r="CB29" i="1"/>
  <c r="CC29" i="1"/>
  <c r="CR29" i="1"/>
  <c r="CD29" i="1"/>
  <c r="CS29" i="1"/>
  <c r="CE29" i="1"/>
  <c r="CF29" i="1"/>
  <c r="CG29" i="1"/>
  <c r="CV29" i="1"/>
  <c r="CH29" i="1"/>
  <c r="CW29" i="1"/>
  <c r="CI29" i="1"/>
  <c r="CJ29" i="1"/>
  <c r="CK29" i="1"/>
  <c r="CZ29" i="1"/>
  <c r="CL29" i="1"/>
  <c r="DA29" i="1"/>
  <c r="CQ29" i="1"/>
  <c r="CT29" i="1"/>
  <c r="CU29" i="1"/>
  <c r="CX29" i="1"/>
  <c r="CY29" i="1"/>
  <c r="EI29" i="1"/>
  <c r="EL29" i="1"/>
  <c r="EP29" i="1"/>
  <c r="G6" i="4"/>
  <c r="G11" i="4"/>
  <c r="H11" i="4"/>
  <c r="L6" i="4"/>
  <c r="B10" i="4"/>
  <c r="C10" i="4"/>
  <c r="D10" i="4"/>
  <c r="F10" i="4"/>
  <c r="I10" i="4"/>
  <c r="K10" i="4"/>
  <c r="L10" i="4"/>
  <c r="M10" i="4"/>
  <c r="N10" i="4"/>
  <c r="B11" i="4"/>
  <c r="C11" i="4"/>
  <c r="D11" i="4"/>
  <c r="F11" i="4"/>
  <c r="I11" i="4"/>
  <c r="K11" i="4"/>
  <c r="L11" i="4"/>
  <c r="M11" i="4"/>
  <c r="N11" i="4"/>
  <c r="B12" i="4"/>
  <c r="C12" i="4"/>
  <c r="D12" i="4"/>
  <c r="F12" i="4"/>
  <c r="I12" i="4"/>
  <c r="G12" i="4"/>
  <c r="H12" i="4"/>
  <c r="K12" i="4"/>
  <c r="L12" i="4"/>
  <c r="M12" i="4"/>
  <c r="B13" i="4"/>
  <c r="C13" i="4"/>
  <c r="D13" i="4"/>
  <c r="F13" i="4"/>
  <c r="I13" i="4"/>
  <c r="G13" i="4"/>
  <c r="H13" i="4"/>
  <c r="K13" i="4"/>
  <c r="N13" i="4"/>
  <c r="L13" i="4"/>
  <c r="M13" i="4"/>
  <c r="B14" i="4"/>
  <c r="C14" i="4"/>
  <c r="D14" i="4"/>
  <c r="F14" i="4"/>
  <c r="G14" i="4"/>
  <c r="H14" i="4"/>
  <c r="I14" i="4"/>
  <c r="K14" i="4"/>
  <c r="L14" i="4"/>
  <c r="M14" i="4"/>
  <c r="N14" i="4"/>
  <c r="B15" i="4"/>
  <c r="C15" i="4"/>
  <c r="D15" i="4"/>
  <c r="F15" i="4"/>
  <c r="G15" i="4"/>
  <c r="H15" i="4"/>
  <c r="I15" i="4"/>
  <c r="K15" i="4"/>
  <c r="L15" i="4"/>
  <c r="M15" i="4"/>
  <c r="N15" i="4"/>
  <c r="B16" i="4"/>
  <c r="C16" i="4"/>
  <c r="D16" i="4"/>
  <c r="F16" i="4"/>
  <c r="I16" i="4"/>
  <c r="G16" i="4"/>
  <c r="H16" i="4"/>
  <c r="K16" i="4"/>
  <c r="L16" i="4"/>
  <c r="M16" i="4"/>
  <c r="B17" i="4"/>
  <c r="C17" i="4"/>
  <c r="D17" i="4"/>
  <c r="F17" i="4"/>
  <c r="I17" i="4"/>
  <c r="G17" i="4"/>
  <c r="H17" i="4"/>
  <c r="K17" i="4"/>
  <c r="N17" i="4"/>
  <c r="L17" i="4"/>
  <c r="M17" i="4"/>
  <c r="B18" i="4"/>
  <c r="C18" i="4"/>
  <c r="D18" i="4"/>
  <c r="F18" i="4"/>
  <c r="G18" i="4"/>
  <c r="H18" i="4"/>
  <c r="I18" i="4"/>
  <c r="K18" i="4"/>
  <c r="L18" i="4"/>
  <c r="M18" i="4"/>
  <c r="N18" i="4"/>
  <c r="B19" i="4"/>
  <c r="C19" i="4"/>
  <c r="D19" i="4"/>
  <c r="F19" i="4"/>
  <c r="G19" i="4"/>
  <c r="H19" i="4"/>
  <c r="I19" i="4"/>
  <c r="K19" i="4"/>
  <c r="L19" i="4"/>
  <c r="M19" i="4"/>
  <c r="N19" i="4"/>
  <c r="B20" i="4"/>
  <c r="C20" i="4"/>
  <c r="D20" i="4"/>
  <c r="F20" i="4"/>
  <c r="I20" i="4"/>
  <c r="G20" i="4"/>
  <c r="H20" i="4"/>
  <c r="K20" i="4"/>
  <c r="L20" i="4"/>
  <c r="M20" i="4"/>
  <c r="B21" i="4"/>
  <c r="C21" i="4"/>
  <c r="D21" i="4"/>
  <c r="F21" i="4"/>
  <c r="I21" i="4"/>
  <c r="G21" i="4"/>
  <c r="H21" i="4"/>
  <c r="K21" i="4"/>
  <c r="N21" i="4"/>
  <c r="L21" i="4"/>
  <c r="M21" i="4"/>
  <c r="B22" i="4"/>
  <c r="C22" i="4"/>
  <c r="D22" i="4"/>
  <c r="F22" i="4"/>
  <c r="G22" i="4"/>
  <c r="H22" i="4"/>
  <c r="I22" i="4"/>
  <c r="K22" i="4"/>
  <c r="L22" i="4"/>
  <c r="M22" i="4"/>
  <c r="N22" i="4"/>
  <c r="B23" i="4"/>
  <c r="C23" i="4"/>
  <c r="D23" i="4"/>
  <c r="F23" i="4"/>
  <c r="G23" i="4"/>
  <c r="H23" i="4"/>
  <c r="I23" i="4"/>
  <c r="K23" i="4"/>
  <c r="L23" i="4"/>
  <c r="M23" i="4"/>
  <c r="N23" i="4"/>
  <c r="B24" i="4"/>
  <c r="C24" i="4"/>
  <c r="D24" i="4"/>
  <c r="F24" i="4"/>
  <c r="I24" i="4"/>
  <c r="G24" i="4"/>
  <c r="H24" i="4"/>
  <c r="K24" i="4"/>
  <c r="L24" i="4"/>
  <c r="M24" i="4"/>
  <c r="B25" i="4"/>
  <c r="C25" i="4"/>
  <c r="D25" i="4"/>
  <c r="F25" i="4"/>
  <c r="I25" i="4"/>
  <c r="G25" i="4"/>
  <c r="H25" i="4"/>
  <c r="K25" i="4"/>
  <c r="N25" i="4"/>
  <c r="L25" i="4"/>
  <c r="M25" i="4"/>
  <c r="B26" i="4"/>
  <c r="C26" i="4"/>
  <c r="D26" i="4"/>
  <c r="F26" i="4"/>
  <c r="G26" i="4"/>
  <c r="H26" i="4"/>
  <c r="I26" i="4"/>
  <c r="K26" i="4"/>
  <c r="L26" i="4"/>
  <c r="M26" i="4"/>
  <c r="N26" i="4"/>
  <c r="B27" i="4"/>
  <c r="C27" i="4"/>
  <c r="D27" i="4"/>
  <c r="F27" i="4"/>
  <c r="G27" i="4"/>
  <c r="H27" i="4"/>
  <c r="I27" i="4"/>
  <c r="K27" i="4"/>
  <c r="L27" i="4"/>
  <c r="M27" i="4"/>
  <c r="N27" i="4"/>
  <c r="B28" i="4"/>
  <c r="C28" i="4"/>
  <c r="D28" i="4"/>
  <c r="F28" i="4"/>
  <c r="I28" i="4"/>
  <c r="G28" i="4"/>
  <c r="H28" i="4"/>
  <c r="K28" i="4"/>
  <c r="L28" i="4"/>
  <c r="M28" i="4"/>
  <c r="B29" i="4"/>
  <c r="C29" i="4"/>
  <c r="D29" i="4"/>
  <c r="F29" i="4"/>
  <c r="I29" i="4"/>
  <c r="G29" i="4"/>
  <c r="H29" i="4"/>
  <c r="K29" i="4"/>
  <c r="N29" i="4"/>
  <c r="L29" i="4"/>
  <c r="M29" i="4"/>
  <c r="B30" i="4"/>
  <c r="C30" i="4"/>
  <c r="D30" i="4"/>
  <c r="F30" i="4"/>
  <c r="G30" i="4"/>
  <c r="H30" i="4"/>
  <c r="I30" i="4"/>
  <c r="K30" i="4"/>
  <c r="L30" i="4"/>
  <c r="M30" i="4"/>
  <c r="N30" i="4"/>
  <c r="B31" i="4"/>
  <c r="C31" i="4"/>
  <c r="D31" i="4"/>
  <c r="F31" i="4"/>
  <c r="G31" i="4"/>
  <c r="H31" i="4"/>
  <c r="I31" i="4"/>
  <c r="K31" i="4"/>
  <c r="L31" i="4"/>
  <c r="M31" i="4"/>
  <c r="N31" i="4"/>
  <c r="B32" i="4"/>
  <c r="C32" i="4"/>
  <c r="D32" i="4"/>
  <c r="F32" i="4"/>
  <c r="I32" i="4"/>
  <c r="G32" i="4"/>
  <c r="H32" i="4"/>
  <c r="K32" i="4"/>
  <c r="L32" i="4"/>
  <c r="M32" i="4"/>
  <c r="B33" i="4"/>
  <c r="C33" i="4"/>
  <c r="D33" i="4"/>
  <c r="F33" i="4"/>
  <c r="I33" i="4"/>
  <c r="G33" i="4"/>
  <c r="H33" i="4"/>
  <c r="K33" i="4"/>
  <c r="N33" i="4"/>
  <c r="L33" i="4"/>
  <c r="M33" i="4"/>
  <c r="B34" i="4"/>
  <c r="C34" i="4"/>
  <c r="D34" i="4"/>
  <c r="F34" i="4"/>
  <c r="G34" i="4"/>
  <c r="H34" i="4"/>
  <c r="I34" i="4"/>
  <c r="K34" i="4"/>
  <c r="L34" i="4"/>
  <c r="M34" i="4"/>
  <c r="N34" i="4"/>
  <c r="B35" i="4"/>
  <c r="C35" i="4"/>
  <c r="D35" i="4"/>
  <c r="F35" i="4"/>
  <c r="G35" i="4"/>
  <c r="H35" i="4"/>
  <c r="I35" i="4"/>
  <c r="K35" i="4"/>
  <c r="L35" i="4"/>
  <c r="M35" i="4"/>
  <c r="N35" i="4"/>
  <c r="B36" i="4"/>
  <c r="C36" i="4"/>
  <c r="D36" i="4"/>
  <c r="F36" i="4"/>
  <c r="I36" i="4"/>
  <c r="G36" i="4"/>
  <c r="H36" i="4"/>
  <c r="K36" i="4"/>
  <c r="L36" i="4"/>
  <c r="M36" i="4"/>
  <c r="B37" i="4"/>
  <c r="C37" i="4"/>
  <c r="D37" i="4"/>
  <c r="F37" i="4"/>
  <c r="I37" i="4"/>
  <c r="G37" i="4"/>
  <c r="H37" i="4"/>
  <c r="K37" i="4"/>
  <c r="N37" i="4"/>
  <c r="L37" i="4"/>
  <c r="M37" i="4"/>
  <c r="B38" i="4"/>
  <c r="C38" i="4"/>
  <c r="D38" i="4"/>
  <c r="F38" i="4"/>
  <c r="G38" i="4"/>
  <c r="H38" i="4"/>
  <c r="I38" i="4"/>
  <c r="K38" i="4"/>
  <c r="L38" i="4"/>
  <c r="M38" i="4"/>
  <c r="N38" i="4"/>
  <c r="B39" i="4"/>
  <c r="C39" i="4"/>
  <c r="D39" i="4"/>
  <c r="F39" i="4"/>
  <c r="G39" i="4"/>
  <c r="H39" i="4"/>
  <c r="I39" i="4"/>
  <c r="K39" i="4"/>
  <c r="L39" i="4"/>
  <c r="M39" i="4"/>
  <c r="N39" i="4"/>
  <c r="B40" i="4"/>
  <c r="C40" i="4"/>
  <c r="D40" i="4"/>
  <c r="F40" i="4"/>
  <c r="I40" i="4"/>
  <c r="G40" i="4"/>
  <c r="H40" i="4"/>
  <c r="K40" i="4"/>
  <c r="L40" i="4"/>
  <c r="M40" i="4"/>
  <c r="B41" i="4"/>
  <c r="C41" i="4"/>
  <c r="D41" i="4"/>
  <c r="F41" i="4"/>
  <c r="I41" i="4"/>
  <c r="G41" i="4"/>
  <c r="H41" i="4"/>
  <c r="K41" i="4"/>
  <c r="N41" i="4"/>
  <c r="L41" i="4"/>
  <c r="M41" i="4"/>
  <c r="DB29" i="1"/>
  <c r="DC29" i="1"/>
  <c r="BU29" i="1"/>
  <c r="BQ29" i="1"/>
  <c r="EG29" i="1" s="1"/>
  <c r="BP29" i="1"/>
  <c r="BT29" i="1"/>
  <c r="BX29" i="1"/>
  <c r="N40" i="4"/>
  <c r="N36" i="4"/>
  <c r="N32" i="4"/>
  <c r="N28" i="4"/>
  <c r="N24" i="4"/>
  <c r="N20" i="4"/>
  <c r="N16" i="4"/>
  <c r="N12" i="4"/>
  <c r="G10" i="4"/>
  <c r="H10" i="4"/>
  <c r="DF29" i="1"/>
  <c r="CO29" i="1"/>
  <c r="DA25" i="1"/>
  <c r="CW25" i="1"/>
  <c r="DM25" i="1"/>
  <c r="DX25" i="1"/>
  <c r="CS25" i="1"/>
  <c r="BU23" i="1"/>
  <c r="BY23" i="1"/>
  <c r="BO23" i="1"/>
  <c r="BV23" i="1"/>
  <c r="BO18" i="1"/>
  <c r="BN18" i="1"/>
  <c r="BW18" i="1" s="1"/>
  <c r="BA29" i="1"/>
  <c r="DB25" i="1"/>
  <c r="DC25" i="1"/>
  <c r="DQ25" i="1"/>
  <c r="ES29" i="1"/>
  <c r="DQ29" i="1"/>
  <c r="DM29" i="1"/>
  <c r="DX29" i="1"/>
  <c r="DE29" i="1"/>
  <c r="CM29" i="1"/>
  <c r="CT28" i="1"/>
  <c r="BT28" i="1"/>
  <c r="CZ27" i="1"/>
  <c r="CV27" i="1"/>
  <c r="DB27" i="1"/>
  <c r="DC27" i="1"/>
  <c r="BR27" i="1"/>
  <c r="BA27" i="1"/>
  <c r="CM25" i="1"/>
  <c r="BX25" i="1"/>
  <c r="DA23" i="1"/>
  <c r="CM23" i="1"/>
  <c r="BR23" i="1"/>
  <c r="BS23" i="1"/>
  <c r="BN27" i="1"/>
  <c r="BZ27" i="1"/>
  <c r="AZ26" i="1"/>
  <c r="BN26" i="1"/>
  <c r="BQ26" i="1" s="1"/>
  <c r="EG26" i="1" s="1"/>
  <c r="DP29" i="1"/>
  <c r="DL29" i="1"/>
  <c r="BR29" i="1"/>
  <c r="EH29" i="1" s="1"/>
  <c r="CS28" i="1"/>
  <c r="DB28" i="1"/>
  <c r="DC28" i="1"/>
  <c r="CZ26" i="1"/>
  <c r="CO26" i="1"/>
  <c r="CV26" i="1"/>
  <c r="CR26" i="1"/>
  <c r="DB26" i="1"/>
  <c r="DC26" i="1"/>
  <c r="BW26" i="1"/>
  <c r="BQ25" i="1"/>
  <c r="BW25" i="1"/>
  <c r="CZ24" i="1"/>
  <c r="CV24" i="1"/>
  <c r="DB24" i="1"/>
  <c r="DC24" i="1"/>
  <c r="CO24" i="1"/>
  <c r="BZ24" i="1"/>
  <c r="AZ24" i="1"/>
  <c r="BN24" i="1"/>
  <c r="BV24" i="1" s="1"/>
  <c r="BA24" i="1"/>
  <c r="AZ20" i="1"/>
  <c r="DN25" i="1"/>
  <c r="DT25" i="1"/>
  <c r="CO25" i="1"/>
  <c r="BV22" i="1"/>
  <c r="CY21" i="1"/>
  <c r="CU21" i="1"/>
  <c r="CQ21" i="1"/>
  <c r="DA24" i="1"/>
  <c r="CW24" i="1"/>
  <c r="BO24" i="1"/>
  <c r="CX23" i="1"/>
  <c r="DB23" i="1"/>
  <c r="DC23" i="1"/>
  <c r="CT23" i="1"/>
  <c r="BR22" i="1"/>
  <c r="CM24" i="1"/>
  <c r="CO23" i="1"/>
  <c r="BX23" i="1"/>
  <c r="AZ23" i="1"/>
  <c r="BP23" i="1"/>
  <c r="CY22" i="1"/>
  <c r="CU22" i="1"/>
  <c r="DK22" i="1"/>
  <c r="CM22" i="1"/>
  <c r="CQ22" i="1"/>
  <c r="DB22" i="1"/>
  <c r="DC22" i="1"/>
  <c r="DD22" i="1"/>
  <c r="DH22" i="1"/>
  <c r="BA23" i="1"/>
  <c r="BN21" i="1"/>
  <c r="BU21" i="1"/>
  <c r="AV21" i="1"/>
  <c r="CZ19" i="1"/>
  <c r="CV19" i="1"/>
  <c r="BA19" i="1"/>
  <c r="CR19" i="1"/>
  <c r="BZ18" i="1"/>
  <c r="CW17" i="1"/>
  <c r="CS17" i="1"/>
  <c r="CL19" i="1"/>
  <c r="CL16" i="1"/>
  <c r="CL20" i="1"/>
  <c r="CL21" i="1"/>
  <c r="CM21" i="1"/>
  <c r="CL17" i="1"/>
  <c r="CO17" i="1"/>
  <c r="BK18" i="1"/>
  <c r="BK19" i="1"/>
  <c r="BK20" i="1"/>
  <c r="BK16" i="1"/>
  <c r="BK17" i="1"/>
  <c r="BA22" i="1"/>
  <c r="BA21" i="1"/>
  <c r="CZ20" i="1"/>
  <c r="CV20" i="1"/>
  <c r="CR20" i="1"/>
  <c r="CY19" i="1"/>
  <c r="CM19" i="1"/>
  <c r="CQ19" i="1"/>
  <c r="CM17" i="1"/>
  <c r="AZ22" i="1"/>
  <c r="BP22" i="1"/>
  <c r="BY21" i="1"/>
  <c r="BQ21" i="1"/>
  <c r="DA18" i="1"/>
  <c r="CW18" i="1"/>
  <c r="CS18" i="1"/>
  <c r="CY16" i="1"/>
  <c r="CU16" i="1"/>
  <c r="CQ16" i="1"/>
  <c r="CM16" i="1"/>
  <c r="CO18" i="1"/>
  <c r="CM18" i="1"/>
  <c r="BA18" i="1"/>
  <c r="AZ17" i="1"/>
  <c r="CK16" i="1"/>
  <c r="CK17" i="1"/>
  <c r="BJ19" i="1"/>
  <c r="BJ16" i="1"/>
  <c r="BJ20" i="1"/>
  <c r="BN20" i="1"/>
  <c r="BY20" i="1" s="1"/>
  <c r="CR18" i="1"/>
  <c r="DB18" i="1"/>
  <c r="DC18" i="1"/>
  <c r="BN17" i="1"/>
  <c r="BU17" i="1" s="1"/>
  <c r="BP17" i="1"/>
  <c r="AZ19" i="1"/>
  <c r="AZ18" i="1"/>
  <c r="BP18" i="1"/>
  <c r="CX17" i="1"/>
  <c r="CT17" i="1"/>
  <c r="BA16" i="1"/>
  <c r="CV16" i="1"/>
  <c r="DE28" i="1"/>
  <c r="DL28" i="1"/>
  <c r="DD28" i="1"/>
  <c r="DH28" i="1"/>
  <c r="DP28" i="1"/>
  <c r="DK28" i="1"/>
  <c r="DO28" i="1"/>
  <c r="DN28" i="1"/>
  <c r="DT28" i="1"/>
  <c r="DJ28" i="1"/>
  <c r="DF28" i="1"/>
  <c r="DQ28" i="1"/>
  <c r="DM28" i="1"/>
  <c r="DX28" i="1"/>
  <c r="DD24" i="1"/>
  <c r="DH24" i="1"/>
  <c r="DJ24" i="1"/>
  <c r="DO24" i="1"/>
  <c r="DN24" i="1"/>
  <c r="DT24" i="1"/>
  <c r="DL24" i="1"/>
  <c r="DQ24" i="1"/>
  <c r="DK24" i="1"/>
  <c r="DP24" i="1"/>
  <c r="DE24" i="1"/>
  <c r="DF24" i="1"/>
  <c r="DM24" i="1"/>
  <c r="DX24" i="1"/>
  <c r="DF26" i="1"/>
  <c r="DJ26" i="1"/>
  <c r="DN26" i="1"/>
  <c r="DT26" i="1"/>
  <c r="DD26" i="1"/>
  <c r="DH26" i="1"/>
  <c r="DK26" i="1"/>
  <c r="DO26" i="1"/>
  <c r="DL26" i="1"/>
  <c r="DM26" i="1"/>
  <c r="DX26" i="1"/>
  <c r="DP26" i="1"/>
  <c r="DE26" i="1"/>
  <c r="DQ26" i="1"/>
  <c r="DF27" i="1"/>
  <c r="DK27" i="1"/>
  <c r="DQ27" i="1"/>
  <c r="DJ27" i="1"/>
  <c r="DM27" i="1"/>
  <c r="DX27" i="1"/>
  <c r="DE27" i="1"/>
  <c r="DO27" i="1"/>
  <c r="DL27" i="1"/>
  <c r="DN27" i="1"/>
  <c r="DT27" i="1"/>
  <c r="DD27" i="1"/>
  <c r="DH27" i="1"/>
  <c r="DP27" i="1"/>
  <c r="BO20" i="1"/>
  <c r="BS20" i="1"/>
  <c r="BV20" i="1"/>
  <c r="BR20" i="1"/>
  <c r="BU20" i="1"/>
  <c r="DJ18" i="1"/>
  <c r="DO18" i="1"/>
  <c r="DK18" i="1"/>
  <c r="DL18" i="1"/>
  <c r="DD18" i="1"/>
  <c r="DH18" i="1"/>
  <c r="DM18" i="1"/>
  <c r="DX18" i="1"/>
  <c r="DQ18" i="1"/>
  <c r="DF18" i="1"/>
  <c r="DN18" i="1"/>
  <c r="DT18" i="1"/>
  <c r="DE18" i="1"/>
  <c r="DP18" i="1"/>
  <c r="DK23" i="1"/>
  <c r="DO23" i="1"/>
  <c r="DD23" i="1"/>
  <c r="DH23" i="1"/>
  <c r="DL23" i="1"/>
  <c r="DP23" i="1"/>
  <c r="DE23" i="1"/>
  <c r="DM23" i="1"/>
  <c r="DX23" i="1"/>
  <c r="DF23" i="1"/>
  <c r="DN23" i="1"/>
  <c r="DT23" i="1"/>
  <c r="DJ23" i="1"/>
  <c r="DQ23" i="1"/>
  <c r="DV25" i="1"/>
  <c r="BP26" i="1"/>
  <c r="BT26" i="1"/>
  <c r="ET26" i="1" s="1"/>
  <c r="BX26" i="1"/>
  <c r="BU26" i="1"/>
  <c r="BY26" i="1"/>
  <c r="EG23" i="1"/>
  <c r="ER29" i="1"/>
  <c r="EQ29" i="1"/>
  <c r="BX27" i="1"/>
  <c r="BT18" i="1"/>
  <c r="CZ17" i="1"/>
  <c r="DB17" i="1"/>
  <c r="DC17" i="1"/>
  <c r="BR18" i="1"/>
  <c r="BX17" i="1"/>
  <c r="BX18" i="1"/>
  <c r="DA16" i="1"/>
  <c r="CO16" i="1"/>
  <c r="CO21" i="1"/>
  <c r="DJ25" i="1"/>
  <c r="BQ24" i="1"/>
  <c r="BT24" i="1"/>
  <c r="BX24" i="1"/>
  <c r="BY24" i="1"/>
  <c r="BV27" i="1"/>
  <c r="DU29" i="1"/>
  <c r="BS18" i="1"/>
  <c r="EE23" i="1"/>
  <c r="BT27" i="1"/>
  <c r="DD29" i="1"/>
  <c r="DH29" i="1"/>
  <c r="DI29" i="1"/>
  <c r="DW29" i="1"/>
  <c r="DK29" i="1"/>
  <c r="DO29" i="1"/>
  <c r="DR29" i="1"/>
  <c r="DJ29" i="1"/>
  <c r="DN29" i="1"/>
  <c r="DT29" i="1"/>
  <c r="DA20" i="1"/>
  <c r="DB20" i="1"/>
  <c r="DC20" i="1"/>
  <c r="CM20" i="1"/>
  <c r="BQ17" i="1"/>
  <c r="EG17" i="1" s="1"/>
  <c r="BY17" i="1"/>
  <c r="BV17" i="1"/>
  <c r="BW17" i="1"/>
  <c r="BZ17" i="1"/>
  <c r="BR17" i="1"/>
  <c r="CZ16" i="1"/>
  <c r="DB16" i="1"/>
  <c r="DC16" i="1"/>
  <c r="DA17" i="1"/>
  <c r="DA19" i="1"/>
  <c r="DQ19" i="1"/>
  <c r="BR21" i="1"/>
  <c r="BV21" i="1"/>
  <c r="BZ21" i="1"/>
  <c r="BS21" i="1"/>
  <c r="BO21" i="1"/>
  <c r="BW21" i="1"/>
  <c r="BP21" i="1"/>
  <c r="EG21" i="1" s="1"/>
  <c r="BX21" i="1"/>
  <c r="BT21" i="1"/>
  <c r="DE22" i="1"/>
  <c r="DM22" i="1"/>
  <c r="DX22" i="1"/>
  <c r="DQ22" i="1"/>
  <c r="DL22" i="1"/>
  <c r="DP22" i="1"/>
  <c r="DJ22" i="1"/>
  <c r="DN22" i="1"/>
  <c r="DT22" i="1"/>
  <c r="DF22" i="1"/>
  <c r="DO22" i="1"/>
  <c r="EE24" i="1"/>
  <c r="BO26" i="1"/>
  <c r="BZ26" i="1"/>
  <c r="DF25" i="1"/>
  <c r="BN19" i="1"/>
  <c r="BP19" i="1" s="1"/>
  <c r="BN16" i="1"/>
  <c r="BX16" i="1" s="1"/>
  <c r="BS17" i="1"/>
  <c r="DB19" i="1"/>
  <c r="DC19" i="1"/>
  <c r="CO20" i="1"/>
  <c r="BX20" i="1"/>
  <c r="DA21" i="1"/>
  <c r="DB21" i="1"/>
  <c r="DC21" i="1"/>
  <c r="CO19" i="1"/>
  <c r="BR26" i="1"/>
  <c r="BQ27" i="1"/>
  <c r="BW27" i="1"/>
  <c r="BP27" i="1"/>
  <c r="BS27" i="1"/>
  <c r="EA27" i="1" s="1"/>
  <c r="EM27" i="1" s="1"/>
  <c r="BO27" i="1"/>
  <c r="BU27" i="1"/>
  <c r="DV29" i="1"/>
  <c r="DK25" i="1"/>
  <c r="DO25" i="1"/>
  <c r="DE25" i="1"/>
  <c r="DP25" i="1"/>
  <c r="DL25" i="1"/>
  <c r="DR25" i="1"/>
  <c r="DD25" i="1"/>
  <c r="DH25" i="1"/>
  <c r="BU18" i="1"/>
  <c r="BQ18" i="1"/>
  <c r="EG18" i="1" s="1"/>
  <c r="BY18" i="1"/>
  <c r="BY27" i="1"/>
  <c r="DM20" i="1"/>
  <c r="DX20" i="1"/>
  <c r="DF20" i="1"/>
  <c r="DN20" i="1"/>
  <c r="DT20" i="1"/>
  <c r="DJ20" i="1"/>
  <c r="DK20" i="1"/>
  <c r="DO20" i="1"/>
  <c r="DE20" i="1"/>
  <c r="DL20" i="1"/>
  <c r="DD20" i="1"/>
  <c r="DH20" i="1"/>
  <c r="DP20" i="1"/>
  <c r="DQ20" i="1"/>
  <c r="DL21" i="1"/>
  <c r="DP21" i="1"/>
  <c r="DE21" i="1"/>
  <c r="DM21" i="1"/>
  <c r="DX21" i="1"/>
  <c r="DF21" i="1"/>
  <c r="DJ21" i="1"/>
  <c r="DD21" i="1"/>
  <c r="DH21" i="1"/>
  <c r="DN21" i="1"/>
  <c r="DT21" i="1"/>
  <c r="DK21" i="1"/>
  <c r="DO21" i="1"/>
  <c r="DQ21" i="1"/>
  <c r="DE16" i="1"/>
  <c r="DM16" i="1"/>
  <c r="DX16" i="1"/>
  <c r="DF16" i="1"/>
  <c r="DJ16" i="1"/>
  <c r="DK16" i="1"/>
  <c r="DO16" i="1"/>
  <c r="DD16" i="1"/>
  <c r="DH16" i="1"/>
  <c r="DN16" i="1"/>
  <c r="DT16" i="1"/>
  <c r="DL16" i="1"/>
  <c r="DP16" i="1"/>
  <c r="DQ16" i="1"/>
  <c r="DK17" i="1"/>
  <c r="DO17" i="1"/>
  <c r="DD17" i="1"/>
  <c r="DH17" i="1"/>
  <c r="DL17" i="1"/>
  <c r="DE17" i="1"/>
  <c r="DF17" i="1"/>
  <c r="DJ17" i="1"/>
  <c r="DN17" i="1"/>
  <c r="DT17" i="1"/>
  <c r="DM17" i="1"/>
  <c r="DX17" i="1"/>
  <c r="DP17" i="1"/>
  <c r="DQ17" i="1"/>
  <c r="BQ19" i="1"/>
  <c r="BT19" i="1"/>
  <c r="BU19" i="1"/>
  <c r="BZ19" i="1"/>
  <c r="BR19" i="1"/>
  <c r="BO19" i="1"/>
  <c r="EA19" i="1" s="1"/>
  <c r="BV19" i="1"/>
  <c r="BS19" i="1"/>
  <c r="DU26" i="1"/>
  <c r="DG26" i="1"/>
  <c r="DG24" i="1"/>
  <c r="DU24" i="1"/>
  <c r="DF19" i="1"/>
  <c r="DN19" i="1"/>
  <c r="DT19" i="1"/>
  <c r="DK19" i="1"/>
  <c r="DJ19" i="1"/>
  <c r="DM19" i="1"/>
  <c r="DX19" i="1"/>
  <c r="DP19" i="1"/>
  <c r="DO19" i="1"/>
  <c r="DE19" i="1"/>
  <c r="DD19" i="1"/>
  <c r="DH19" i="1"/>
  <c r="DL19" i="1"/>
  <c r="EQ25" i="1"/>
  <c r="DI25" i="1"/>
  <c r="DW25" i="1"/>
  <c r="ER25" i="1"/>
  <c r="ES25" i="1"/>
  <c r="EQ23" i="1"/>
  <c r="ER23" i="1"/>
  <c r="DI23" i="1"/>
  <c r="ES23" i="1"/>
  <c r="DU27" i="1"/>
  <c r="DG27" i="1"/>
  <c r="ER26" i="1"/>
  <c r="DI26" i="1"/>
  <c r="EQ26" i="1"/>
  <c r="ES26" i="1"/>
  <c r="EE26" i="1"/>
  <c r="DV22" i="1"/>
  <c r="DR22" i="1"/>
  <c r="DG18" i="1"/>
  <c r="DU18" i="1"/>
  <c r="DV27" i="1"/>
  <c r="DR27" i="1"/>
  <c r="EH18" i="1"/>
  <c r="DG25" i="1"/>
  <c r="DU25" i="1"/>
  <c r="EE27" i="1"/>
  <c r="EG27" i="1"/>
  <c r="DG22" i="1"/>
  <c r="DU22" i="1"/>
  <c r="DR23" i="1"/>
  <c r="DV23" i="1"/>
  <c r="DI18" i="1"/>
  <c r="ER18" i="1"/>
  <c r="ES18" i="1"/>
  <c r="EQ18" i="1"/>
  <c r="ES27" i="1"/>
  <c r="EQ27" i="1"/>
  <c r="DI27" i="1"/>
  <c r="DW27" i="1"/>
  <c r="EB27" i="1"/>
  <c r="EO27" i="1" s="1"/>
  <c r="ER27" i="1"/>
  <c r="DV28" i="1"/>
  <c r="DR28" i="1"/>
  <c r="DV19" i="1"/>
  <c r="EF18" i="1"/>
  <c r="ET18" i="1"/>
  <c r="BO16" i="1"/>
  <c r="BY16" i="1"/>
  <c r="BR16" i="1"/>
  <c r="DI22" i="1"/>
  <c r="ES22" i="1"/>
  <c r="EQ22" i="1"/>
  <c r="ER22" i="1"/>
  <c r="EF21" i="1"/>
  <c r="ET21" i="1"/>
  <c r="EE21" i="1"/>
  <c r="CA21" i="1"/>
  <c r="DY29" i="1"/>
  <c r="ET27" i="1"/>
  <c r="EF27" i="1"/>
  <c r="DG29" i="1"/>
  <c r="BW19" i="1"/>
  <c r="DG23" i="1"/>
  <c r="DU23" i="1"/>
  <c r="DV18" i="1"/>
  <c r="DR18" i="1"/>
  <c r="DR26" i="1"/>
  <c r="DV26" i="1"/>
  <c r="DI24" i="1"/>
  <c r="ER24" i="1"/>
  <c r="EQ24" i="1"/>
  <c r="ES24" i="1"/>
  <c r="DV24" i="1"/>
  <c r="DR24" i="1"/>
  <c r="DI28" i="1"/>
  <c r="DW28" i="1"/>
  <c r="ES28" i="1"/>
  <c r="ER28" i="1"/>
  <c r="EQ28" i="1"/>
  <c r="DG28" i="1"/>
  <c r="DU28" i="1"/>
  <c r="DY28" i="1"/>
  <c r="EU21" i="1"/>
  <c r="ER19" i="1"/>
  <c r="DI19" i="1"/>
  <c r="DW19" i="1"/>
  <c r="EQ19" i="1"/>
  <c r="ES19" i="1"/>
  <c r="DG16" i="1"/>
  <c r="DU16" i="1"/>
  <c r="DY16" i="1"/>
  <c r="DY27" i="1"/>
  <c r="DW22" i="1"/>
  <c r="DY22" i="1"/>
  <c r="DW23" i="1"/>
  <c r="DU19" i="1"/>
  <c r="DG19" i="1"/>
  <c r="DY19" i="1"/>
  <c r="DG17" i="1"/>
  <c r="DU17" i="1"/>
  <c r="DV21" i="1"/>
  <c r="DR21" i="1"/>
  <c r="DG21" i="1"/>
  <c r="DU21" i="1"/>
  <c r="ER20" i="1"/>
  <c r="DI20" i="1"/>
  <c r="EQ20" i="1"/>
  <c r="ES20" i="1"/>
  <c r="EQ17" i="1"/>
  <c r="DI17" i="1"/>
  <c r="DW17" i="1"/>
  <c r="ER17" i="1"/>
  <c r="ES17" i="1"/>
  <c r="DV20" i="1"/>
  <c r="DR20" i="1"/>
  <c r="DU20" i="1"/>
  <c r="DG20" i="1"/>
  <c r="DY25" i="1"/>
  <c r="DR19" i="1"/>
  <c r="EE19" i="1"/>
  <c r="DV16" i="1"/>
  <c r="DR16" i="1"/>
  <c r="EQ16" i="1"/>
  <c r="ER16" i="1"/>
  <c r="ES16" i="1"/>
  <c r="DI16" i="1"/>
  <c r="DW16" i="1"/>
  <c r="DW24" i="1"/>
  <c r="DZ27" i="1"/>
  <c r="DW18" i="1"/>
  <c r="DZ29" i="1"/>
  <c r="DZ28" i="1"/>
  <c r="DW26" i="1"/>
  <c r="DR17" i="1"/>
  <c r="DV17" i="1"/>
  <c r="EQ21" i="1"/>
  <c r="ER21" i="1"/>
  <c r="DI21" i="1"/>
  <c r="DW21" i="1"/>
  <c r="EB21" i="1"/>
  <c r="EO21" i="1" s="1"/>
  <c r="ES21" i="1"/>
  <c r="DZ16" i="1"/>
  <c r="DZ17" i="1"/>
  <c r="EM19" i="1"/>
  <c r="DY17" i="1"/>
  <c r="DZ19" i="1"/>
  <c r="DW20" i="1"/>
  <c r="DY21" i="1"/>
  <c r="EA21" i="1"/>
  <c r="DZ26" i="1"/>
  <c r="DY23" i="1"/>
  <c r="DY26" i="1"/>
  <c r="DZ25" i="1"/>
  <c r="DZ22" i="1"/>
  <c r="DY18" i="1"/>
  <c r="EA18" i="1"/>
  <c r="EM18" i="1" s="1"/>
  <c r="DZ21" i="1"/>
  <c r="DY24" i="1"/>
  <c r="DZ23" i="1"/>
  <c r="DZ18" i="1"/>
  <c r="EM21" i="1"/>
  <c r="DY20" i="1"/>
  <c r="DZ24" i="1"/>
  <c r="DZ20" i="1"/>
  <c r="EB23" i="1" l="1"/>
  <c r="EU18" i="1"/>
  <c r="EA29" i="1"/>
  <c r="EM29" i="1" s="1"/>
  <c r="CA27" i="1"/>
  <c r="EB29" i="1"/>
  <c r="EH21" i="1"/>
  <c r="EJ21" i="1" s="1"/>
  <c r="EK21" i="1" s="1"/>
  <c r="AJ21" i="1" s="1"/>
  <c r="BY22" i="1"/>
  <c r="BS22" i="1"/>
  <c r="BX22" i="1"/>
  <c r="BW22" i="1"/>
  <c r="BQ22" i="1"/>
  <c r="EG22" i="1" s="1"/>
  <c r="BU22" i="1"/>
  <c r="BO22" i="1"/>
  <c r="BZ22" i="1"/>
  <c r="BT22" i="1"/>
  <c r="EJ18" i="1"/>
  <c r="EK18" i="1" s="1"/>
  <c r="AJ18" i="1" s="1"/>
  <c r="EH27" i="1"/>
  <c r="EJ27" i="1" s="1"/>
  <c r="EK27" i="1" s="1"/>
  <c r="AJ27" i="1" s="1"/>
  <c r="EH19" i="1"/>
  <c r="EJ19" i="1" s="1"/>
  <c r="EK19" i="1" s="1"/>
  <c r="AJ19" i="1" s="1"/>
  <c r="EE20" i="1"/>
  <c r="CA29" i="1"/>
  <c r="EE29" i="1"/>
  <c r="BR25" i="1"/>
  <c r="BV25" i="1"/>
  <c r="BP25" i="1"/>
  <c r="BS25" i="1"/>
  <c r="BT25" i="1"/>
  <c r="BZ25" i="1"/>
  <c r="BU25" i="1"/>
  <c r="EH25" i="1" s="1"/>
  <c r="BO25" i="1"/>
  <c r="BY25" i="1"/>
  <c r="EF19" i="1"/>
  <c r="ET19" i="1"/>
  <c r="EU19" i="1" s="1"/>
  <c r="EF29" i="1"/>
  <c r="EJ29" i="1" s="1"/>
  <c r="EK29" i="1" s="1"/>
  <c r="AJ29" i="1" s="1"/>
  <c r="EB19" i="1"/>
  <c r="EO19" i="1" s="1"/>
  <c r="EU27" i="1"/>
  <c r="EG19" i="1"/>
  <c r="ET29" i="1"/>
  <c r="EU29" i="1" s="1"/>
  <c r="EG25" i="1"/>
  <c r="EB18" i="1"/>
  <c r="EE18" i="1"/>
  <c r="EH23" i="1"/>
  <c r="BU24" i="1"/>
  <c r="BX19" i="1"/>
  <c r="CA19" i="1" s="1"/>
  <c r="BY19" i="1"/>
  <c r="BV18" i="1"/>
  <c r="CA18" i="1" s="1"/>
  <c r="BS26" i="1"/>
  <c r="EH26" i="1" s="1"/>
  <c r="BT17" i="1"/>
  <c r="BW20" i="1"/>
  <c r="BO17" i="1"/>
  <c r="BP24" i="1"/>
  <c r="BV26" i="1"/>
  <c r="BQ20" i="1"/>
  <c r="BT20" i="1"/>
  <c r="BT23" i="1"/>
  <c r="CA23" i="1" s="1"/>
  <c r="BS24" i="1"/>
  <c r="BW23" i="1"/>
  <c r="BR24" i="1"/>
  <c r="BY29" i="1"/>
  <c r="BW29" i="1"/>
  <c r="BR28" i="1"/>
  <c r="ET28" i="1" s="1"/>
  <c r="BX28" i="1"/>
  <c r="BQ28" i="1"/>
  <c r="EG28" i="1" s="1"/>
  <c r="BO28" i="1"/>
  <c r="BZ20" i="1"/>
  <c r="BP20" i="1"/>
  <c r="CA20" i="1" s="1"/>
  <c r="BW24" i="1"/>
  <c r="BU28" i="1"/>
  <c r="BQ16" i="1"/>
  <c r="EE16" i="1"/>
  <c r="BV16" i="1"/>
  <c r="BU16" i="1"/>
  <c r="BT16" i="1"/>
  <c r="BP16" i="1"/>
  <c r="CA16" i="1" s="1"/>
  <c r="BZ16" i="1"/>
  <c r="BS16" i="1"/>
  <c r="EA16" i="1" s="1"/>
  <c r="EM16" i="1" s="1"/>
  <c r="BW16" i="1"/>
  <c r="EF24" i="1" l="1"/>
  <c r="ET24" i="1"/>
  <c r="EB24" i="1"/>
  <c r="EO24" i="1" s="1"/>
  <c r="CA17" i="1"/>
  <c r="EE17" i="1"/>
  <c r="EB17" i="1"/>
  <c r="EO17" i="1" s="1"/>
  <c r="EA17" i="1"/>
  <c r="EM17" i="1" s="1"/>
  <c r="EO23" i="1"/>
  <c r="EH28" i="1"/>
  <c r="CA28" i="1"/>
  <c r="EA28" i="1"/>
  <c r="EM28" i="1" s="1"/>
  <c r="EE28" i="1"/>
  <c r="EB28" i="1"/>
  <c r="EO28" i="1" s="1"/>
  <c r="EF17" i="1"/>
  <c r="ET17" i="1"/>
  <c r="CA22" i="1"/>
  <c r="EE22" i="1"/>
  <c r="EA22" i="1"/>
  <c r="EM22" i="1" s="1"/>
  <c r="EB22" i="1"/>
  <c r="EO22" i="1" s="1"/>
  <c r="EF28" i="1"/>
  <c r="EF20" i="1"/>
  <c r="EA20" i="1"/>
  <c r="EM20" i="1" s="1"/>
  <c r="ET20" i="1"/>
  <c r="EH20" i="1"/>
  <c r="EU28" i="1"/>
  <c r="EG20" i="1"/>
  <c r="EF23" i="1"/>
  <c r="EJ23" i="1" s="1"/>
  <c r="EK23" i="1" s="1"/>
  <c r="AJ23" i="1" s="1"/>
  <c r="ET23" i="1"/>
  <c r="EU23" i="1" s="1"/>
  <c r="CA24" i="1"/>
  <c r="EG24" i="1"/>
  <c r="CA26" i="1"/>
  <c r="EB26" i="1"/>
  <c r="EO26" i="1" s="1"/>
  <c r="EF26" i="1"/>
  <c r="EU26" i="1" s="1"/>
  <c r="EA23" i="1"/>
  <c r="EM23" i="1" s="1"/>
  <c r="EO18" i="1"/>
  <c r="EA24" i="1"/>
  <c r="EM24" i="1" s="1"/>
  <c r="EF25" i="1"/>
  <c r="EJ25" i="1" s="1"/>
  <c r="EK25" i="1" s="1"/>
  <c r="AJ25" i="1" s="1"/>
  <c r="ET25" i="1"/>
  <c r="EB20" i="1"/>
  <c r="EO20" i="1" s="1"/>
  <c r="EH22" i="1"/>
  <c r="EJ22" i="1" s="1"/>
  <c r="EK22" i="1" s="1"/>
  <c r="AJ22" i="1" s="1"/>
  <c r="EO29" i="1"/>
  <c r="EA26" i="1"/>
  <c r="EM26" i="1" s="1"/>
  <c r="EH24" i="1"/>
  <c r="EJ24" i="1" s="1"/>
  <c r="EK24" i="1" s="1"/>
  <c r="AJ24" i="1" s="1"/>
  <c r="EH17" i="1"/>
  <c r="EJ17" i="1" s="1"/>
  <c r="EK17" i="1" s="1"/>
  <c r="AJ17" i="1" s="1"/>
  <c r="EE25" i="1"/>
  <c r="EB25" i="1"/>
  <c r="EO25" i="1" s="1"/>
  <c r="CA25" i="1"/>
  <c r="EA25" i="1"/>
  <c r="EM25" i="1" s="1"/>
  <c r="ET22" i="1"/>
  <c r="EU22" i="1" s="1"/>
  <c r="EF22" i="1"/>
  <c r="EF16" i="1"/>
  <c r="ET16" i="1"/>
  <c r="EH16" i="1"/>
  <c r="EJ16" i="1" s="1"/>
  <c r="EK16" i="1" s="1"/>
  <c r="AJ16" i="1" s="1"/>
  <c r="EG16" i="1"/>
  <c r="EB16" i="1"/>
  <c r="EO16" i="1" s="1"/>
  <c r="EJ28" i="1" l="1"/>
  <c r="EK28" i="1" s="1"/>
  <c r="AJ28" i="1" s="1"/>
  <c r="EU24" i="1"/>
  <c r="EJ20" i="1"/>
  <c r="EK20" i="1" s="1"/>
  <c r="AJ20" i="1" s="1"/>
  <c r="EU25" i="1"/>
  <c r="EU20" i="1"/>
  <c r="EU17" i="1"/>
  <c r="EJ26" i="1"/>
  <c r="EK26" i="1" s="1"/>
  <c r="AJ26" i="1" s="1"/>
  <c r="EU16" i="1"/>
  <c r="AK16" i="1"/>
  <c r="AL16" i="1"/>
  <c r="AM16" i="1"/>
  <c r="AN16" i="1"/>
  <c r="AR16" i="1"/>
  <c r="AS16" i="1"/>
  <c r="AT16" i="1"/>
  <c r="AK17" i="1"/>
  <c r="AL17" i="1"/>
  <c r="AM17" i="1"/>
  <c r="AN17" i="1"/>
  <c r="AR17" i="1"/>
  <c r="AS17" i="1"/>
  <c r="AT17" i="1"/>
  <c r="AK18" i="1"/>
  <c r="AL18" i="1"/>
  <c r="AM18" i="1"/>
  <c r="AN18" i="1"/>
  <c r="AR18" i="1"/>
  <c r="AS18" i="1"/>
  <c r="AT18" i="1"/>
  <c r="AK19" i="1"/>
  <c r="AL19" i="1"/>
  <c r="AM19" i="1"/>
  <c r="AN19" i="1"/>
  <c r="AR19" i="1"/>
  <c r="AS19" i="1"/>
  <c r="AT19" i="1"/>
  <c r="AK20" i="1"/>
  <c r="AL20" i="1"/>
  <c r="AM20" i="1"/>
  <c r="AN20" i="1"/>
  <c r="AR20" i="1"/>
  <c r="AS20" i="1"/>
  <c r="AT20" i="1"/>
  <c r="AK21" i="1"/>
  <c r="AL21" i="1"/>
  <c r="AM21" i="1"/>
  <c r="AN21" i="1"/>
  <c r="AR21" i="1"/>
  <c r="AS21" i="1"/>
  <c r="AT21" i="1"/>
  <c r="AK22" i="1"/>
  <c r="AL22" i="1"/>
  <c r="AM22" i="1"/>
  <c r="AN22" i="1"/>
  <c r="AR22" i="1"/>
  <c r="AS22" i="1"/>
  <c r="AT22" i="1"/>
  <c r="AK23" i="1"/>
  <c r="AL23" i="1"/>
  <c r="AM23" i="1"/>
  <c r="AN23" i="1"/>
  <c r="AR23" i="1"/>
  <c r="AS23" i="1"/>
  <c r="AT23" i="1"/>
  <c r="AK24" i="1"/>
  <c r="AL24" i="1"/>
  <c r="AM24" i="1"/>
  <c r="AN24" i="1"/>
  <c r="AR24" i="1"/>
  <c r="AS24" i="1"/>
  <c r="AT24" i="1"/>
  <c r="AK25" i="1"/>
  <c r="AL25" i="1"/>
  <c r="AM25" i="1"/>
  <c r="AN25" i="1"/>
  <c r="AR25" i="1"/>
  <c r="AS25" i="1"/>
  <c r="AT25" i="1"/>
  <c r="AK26" i="1"/>
  <c r="AL26" i="1"/>
  <c r="AM26" i="1"/>
  <c r="AN26" i="1"/>
  <c r="AR26" i="1"/>
  <c r="AS26" i="1"/>
  <c r="AT26" i="1"/>
  <c r="AK27" i="1"/>
  <c r="AL27" i="1"/>
  <c r="AM27" i="1"/>
  <c r="AN27" i="1"/>
  <c r="AR27" i="1"/>
  <c r="AS27" i="1"/>
  <c r="AT27" i="1"/>
  <c r="AK28" i="1"/>
  <c r="AL28" i="1"/>
  <c r="AM28" i="1"/>
  <c r="AN28" i="1"/>
  <c r="AR28" i="1"/>
  <c r="AS28" i="1"/>
  <c r="AT28" i="1"/>
  <c r="AK29" i="1"/>
  <c r="AL29" i="1"/>
  <c r="AM29" i="1"/>
  <c r="AN29" i="1"/>
  <c r="AR29" i="1"/>
  <c r="AS29" i="1"/>
  <c r="AT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O12" authorId="0" shapeId="0" xr:uid="{00000000-0006-0000-0100-000001000000}">
      <text>
        <r>
          <rPr>
            <b/>
            <sz val="10"/>
            <color rgb="FF000000"/>
            <rFont val="Tahoma"/>
            <family val="2"/>
          </rPr>
          <t xml:space="preserve">Microsoft Office User:
</t>
        </r>
        <r>
          <rPr>
            <b/>
            <sz val="10"/>
            <color rgb="FF000000"/>
            <rFont val="Tahoma"/>
            <family val="2"/>
          </rPr>
          <t xml:space="preserve">These models might be especially useful for opx crystallized from felsic magmas and/or at  low pressures
</t>
        </r>
        <r>
          <rPr>
            <sz val="10"/>
            <color rgb="FF000000"/>
            <rFont val="Tahoma"/>
            <family val="2"/>
          </rPr>
          <t xml:space="preserve">
</t>
        </r>
        <r>
          <rPr>
            <sz val="10"/>
            <color rgb="FF000000"/>
            <rFont val="Tahoma"/>
            <family val="2"/>
          </rPr>
          <t xml:space="preserve">Some natural Opx crystals, especially those formed at low pressures, may have so little Al that Al(VI) =0, and so P cannot be calculated using Eqns. 29b and 29c. The new "Global" (n=795) and "Felsic" (n=40) models use D(Al2O3) in wt. %, bypassing complications arising from calculated site occupancies. The "Global" model also uses MgO-liq as a proxy for T. The regression statistics are:
</t>
        </r>
        <r>
          <rPr>
            <sz val="10"/>
            <color rgb="FF000000"/>
            <rFont val="Tahoma"/>
            <family val="2"/>
          </rPr>
          <t xml:space="preserve">
</t>
        </r>
        <r>
          <rPr>
            <sz val="10"/>
            <color rgb="FF000000"/>
            <rFont val="Verdana"/>
            <family val="2"/>
          </rPr>
          <t xml:space="preserve">Felsic model: R^2 = 0.88; RMSE (SEE) = </t>
        </r>
        <r>
          <rPr>
            <sz val="10"/>
            <color rgb="FF000000"/>
            <rFont val="Verdana"/>
            <family val="2"/>
          </rPr>
          <t>±</t>
        </r>
        <r>
          <rPr>
            <sz val="10"/>
            <color rgb="FF000000"/>
            <rFont val="Verdana"/>
            <family val="2"/>
          </rPr>
          <t xml:space="preserve"> 1.2 kbar
</t>
        </r>
        <r>
          <rPr>
            <sz val="10"/>
            <color rgb="FF000000"/>
            <rFont val="Verdana"/>
            <family val="2"/>
          </rPr>
          <t xml:space="preserve">Global model: R^2 = 0.74; RMSE (SEE) = </t>
        </r>
        <r>
          <rPr>
            <sz val="10"/>
            <color rgb="FF000000"/>
            <rFont val="Verdana"/>
            <family val="2"/>
          </rPr>
          <t>±</t>
        </r>
        <r>
          <rPr>
            <sz val="10"/>
            <color rgb="FF000000"/>
            <rFont val="Verdana"/>
            <family val="2"/>
          </rPr>
          <t xml:space="preserve"> 3.2 kbar
</t>
        </r>
      </text>
    </comment>
    <comment ref="AM13" authorId="0" shapeId="0" xr:uid="{00000000-0006-0000-0100-000002000000}">
      <text>
        <r>
          <rPr>
            <b/>
            <sz val="10"/>
            <color rgb="FF000000"/>
            <rFont val="Tahoma"/>
            <family val="2"/>
          </rPr>
          <t>Microsoft Office User:</t>
        </r>
        <r>
          <rPr>
            <sz val="10"/>
            <color rgb="FF000000"/>
            <rFont val="Tahoma"/>
            <family val="2"/>
          </rPr>
          <t xml:space="preserve">
</t>
        </r>
        <r>
          <rPr>
            <sz val="10"/>
            <color rgb="FF000000"/>
            <rFont val="Tahoma"/>
            <family val="2"/>
          </rPr>
          <t>Insert your preferred pressure and temperature values here. The barometers that are T-sensitive will use column AM as input and the thermometers that are P-sensitive will use column AN as input.</t>
        </r>
      </text>
    </comment>
    <comment ref="AK14" authorId="0" shapeId="0" xr:uid="{00000000-0006-0000-0100-000003000000}">
      <text>
        <r>
          <rPr>
            <b/>
            <sz val="10"/>
            <color rgb="FF000000"/>
            <rFont val="Tahoma"/>
            <family val="2"/>
          </rPr>
          <t>Microsoft Office User:</t>
        </r>
        <r>
          <rPr>
            <sz val="10"/>
            <color rgb="FF000000"/>
            <rFont val="Tahoma"/>
            <family val="2"/>
          </rPr>
          <t xml:space="preserve">
</t>
        </r>
        <r>
          <rPr>
            <sz val="10"/>
            <color rgb="FF000000"/>
            <rFont val="Tahoma"/>
            <family val="2"/>
          </rPr>
          <t>Thermometers 28a and 28b are linked to P estimates from column AN; the default is column AN = AS (Eqn. 29b); (somewhat arbitrarily). If you want the thermometers to use P values from the new "Felsic" barometer, then set AN = AP (instead of the default, AN = AS).</t>
        </r>
      </text>
    </comment>
  </commentList>
</comments>
</file>

<file path=xl/sharedStrings.xml><?xml version="1.0" encoding="utf-8"?>
<sst xmlns="http://schemas.openxmlformats.org/spreadsheetml/2006/main" count="264" uniqueCount="151">
  <si>
    <t>K</t>
  </si>
  <si>
    <t>Ni</t>
  </si>
  <si>
    <t>Cr</t>
  </si>
  <si>
    <t>Thermometers</t>
  </si>
  <si>
    <t>Putirka (2008) RiMG</t>
  </si>
  <si>
    <t>Eqn 29c</t>
    <phoneticPr fontId="2"/>
  </si>
  <si>
    <t>LEPR</t>
  </si>
  <si>
    <t>Orthopyroxene Compositions - in Weight Percent</t>
  </si>
  <si>
    <t>Eqn. 28a</t>
  </si>
  <si>
    <t>Comp</t>
  </si>
  <si>
    <t>Sum</t>
  </si>
  <si>
    <t>Eqn. 28b</t>
  </si>
  <si>
    <t>Eqn 29a</t>
  </si>
  <si>
    <t>Eqn 29b</t>
  </si>
  <si>
    <t>Barometers (use 28a as input for T)</t>
  </si>
  <si>
    <t>2) OUTPUT  thermometer results are in BLUE columns, AJ - AP</t>
  </si>
  <si>
    <t xml:space="preserve"> TiO2</t>
  </si>
  <si>
    <t>NiO</t>
  </si>
  <si>
    <t>P2O5</t>
  </si>
  <si>
    <t>Gray field = input</t>
  </si>
  <si>
    <t>Blue field = output</t>
  </si>
  <si>
    <t>Geothermometers &amp; barometers based on orthopyroxene-liquid equilibria</t>
  </si>
  <si>
    <t>Experimental Compositions given  as examples</t>
  </si>
  <si>
    <t>Data Source</t>
  </si>
  <si>
    <t>Experiment #</t>
  </si>
  <si>
    <t>Enter</t>
  </si>
  <si>
    <t>Leave Blank</t>
  </si>
  <si>
    <t>Experimental Conditions</t>
  </si>
  <si>
    <t>B399</t>
  </si>
  <si>
    <t>B392</t>
  </si>
  <si>
    <t>G-6b</t>
  </si>
  <si>
    <t>Gardner, J.E., Rutherford, M., Carey, S., Sigurdsson, H. (1995)</t>
  </si>
  <si>
    <t>G-6a</t>
  </si>
  <si>
    <t>Wagner, T.P., Grove, T.L. (1998)</t>
  </si>
  <si>
    <t>Walter, M.J. (1998)</t>
  </si>
  <si>
    <t>Kogiso, T., Hirose, K., Takahashi (1998)</t>
  </si>
  <si>
    <t>KH-43</t>
  </si>
  <si>
    <t>KH-31</t>
  </si>
  <si>
    <t>KH-39</t>
  </si>
  <si>
    <t>B-44</t>
  </si>
  <si>
    <t>Elkins, L.T., Fernandes, V.A., Delano, J.W., Grove, T.L. (2000)</t>
  </si>
  <si>
    <t>Fe</t>
  </si>
  <si>
    <t>Gaetani, G.A., Grove, T.L. (1998)</t>
  </si>
  <si>
    <t>CATION PROPORTIONS</t>
  </si>
  <si>
    <t>CATION fractions</t>
  </si>
  <si>
    <t>MOLE  PROPORTIONS</t>
  </si>
  <si>
    <t>Numbers of oxygens</t>
  </si>
  <si>
    <t>CATIONS ON BASIS OF 6 OXYGENS</t>
  </si>
  <si>
    <t>opx only</t>
  </si>
  <si>
    <t>LIQUID COMPOSITIONS</t>
  </si>
  <si>
    <t>molar</t>
  </si>
  <si>
    <t>OPX COMPOSITIONS</t>
  </si>
  <si>
    <t>TOTAL</t>
  </si>
  <si>
    <t>OPX COMPONENTS</t>
  </si>
  <si>
    <t>Beattie (1993) thermometer</t>
  </si>
  <si>
    <t>calcualted</t>
  </si>
  <si>
    <t>Beattie (1993)</t>
  </si>
  <si>
    <t xml:space="preserve">Measured </t>
  </si>
  <si>
    <t>New Barometer</t>
  </si>
  <si>
    <t>barometer</t>
  </si>
  <si>
    <t>OPX</t>
  </si>
  <si>
    <t>Index</t>
  </si>
  <si>
    <t>T (C)</t>
  </si>
  <si>
    <t>P(kbar)</t>
  </si>
  <si>
    <t>P (GPa)</t>
  </si>
  <si>
    <t>Fe/Mg opx</t>
  </si>
  <si>
    <t>Fe/Mg liq</t>
  </si>
  <si>
    <t>KD(Fe-Mg)</t>
  </si>
  <si>
    <t>NIO</t>
  </si>
  <si>
    <t>total</t>
  </si>
  <si>
    <t>En(=Mg/all cat)</t>
  </si>
  <si>
    <t>Si+Ti</t>
  </si>
  <si>
    <t>AL(IV)</t>
  </si>
  <si>
    <t>AL(VI)</t>
  </si>
  <si>
    <t>CATIONS</t>
  </si>
  <si>
    <t>NaAlSi2O6</t>
  </si>
  <si>
    <t>FmTiAlSiO6</t>
  </si>
  <si>
    <t>CrAl2SiO6</t>
  </si>
  <si>
    <t>FmAl2SiO6</t>
  </si>
  <si>
    <t>CaFmSi2O6</t>
  </si>
  <si>
    <t>Fm2Si2O6</t>
  </si>
  <si>
    <t>ln(Fm2Si2O6-liq)</t>
  </si>
  <si>
    <t>Value for P(GPa)</t>
    <phoneticPr fontId="2"/>
  </si>
  <si>
    <t>P(GPa)</t>
    <phoneticPr fontId="2"/>
  </si>
  <si>
    <t>Equilibrium</t>
    <phoneticPr fontId="2"/>
  </si>
  <si>
    <t>Test for</t>
    <phoneticPr fontId="2"/>
  </si>
  <si>
    <t>100*Mg# liq</t>
    <phoneticPr fontId="2"/>
  </si>
  <si>
    <t>100*Mg# opx</t>
    <phoneticPr fontId="2"/>
  </si>
  <si>
    <t>Select Value for KD(Fe-Mg)ol-liq</t>
  </si>
  <si>
    <t>Select Value for error bounds</t>
  </si>
  <si>
    <t>Equilibrium minus 1 sigma</t>
  </si>
  <si>
    <t>Equilibrium plus 1 sigma</t>
  </si>
  <si>
    <t>100 X</t>
  </si>
  <si>
    <t>Mg/Fe-ol</t>
  </si>
  <si>
    <t>Mg/Fe-liq</t>
  </si>
  <si>
    <t>Mg#liq - 0.3</t>
  </si>
  <si>
    <t>Mg#ol - 0.3</t>
  </si>
  <si>
    <t>The Rhodes Diagram - Test for Opx-liq Equilibrium</t>
    <phoneticPr fontId="2" type="noConversion"/>
  </si>
  <si>
    <t>ln(FmAl2SiO6-liq)</t>
  </si>
  <si>
    <t>Cl-SiO2</t>
  </si>
  <si>
    <t>Cl-NM</t>
  </si>
  <si>
    <t>NF</t>
  </si>
  <si>
    <t>D(Mg)opx-li1</t>
  </si>
  <si>
    <t>numerator</t>
  </si>
  <si>
    <t>denominator</t>
  </si>
  <si>
    <t>T(K )</t>
  </si>
  <si>
    <t>T(C )</t>
  </si>
  <si>
    <t>Mg# liq</t>
  </si>
  <si>
    <t>sat T(C )</t>
  </si>
  <si>
    <t>Auwera, J. V., and Longhi, J. (1994)</t>
  </si>
  <si>
    <t>TJ-20</t>
  </si>
  <si>
    <t>TJ-3</t>
  </si>
  <si>
    <t>TJ-9</t>
  </si>
  <si>
    <t>1) INPUT required in GRAY columns (C, G - S, and V - AG)</t>
  </si>
  <si>
    <t>Enter Liquid Composition Here</t>
  </si>
  <si>
    <t>Liquid (Glass) Composition - in Weight Percent</t>
  </si>
  <si>
    <t>SiO2</t>
  </si>
  <si>
    <t>TiO2</t>
  </si>
  <si>
    <t>Al2O3</t>
  </si>
  <si>
    <t>FeOt</t>
  </si>
  <si>
    <t>MnO</t>
  </si>
  <si>
    <t>MgO</t>
  </si>
  <si>
    <t>CaO</t>
  </si>
  <si>
    <t>Na2O</t>
  </si>
  <si>
    <t>K2O</t>
  </si>
  <si>
    <t>Cr2O3</t>
  </si>
  <si>
    <t>H2O</t>
  </si>
  <si>
    <t>Total</t>
  </si>
  <si>
    <t>Anhydrous</t>
  </si>
  <si>
    <t>Enter Orthopyroxene Composition Here</t>
  </si>
  <si>
    <t>Or use a barometer</t>
  </si>
  <si>
    <t>AlO3/2</t>
  </si>
  <si>
    <t>FeO</t>
  </si>
  <si>
    <t>NaO0.5</t>
  </si>
  <si>
    <t>KO0.5</t>
  </si>
  <si>
    <t>CrO3/2</t>
  </si>
  <si>
    <t>PO5/2</t>
  </si>
  <si>
    <t>Si</t>
  </si>
  <si>
    <t>Ti</t>
  </si>
  <si>
    <t>Al</t>
  </si>
  <si>
    <t>Mn</t>
  </si>
  <si>
    <t>Mg</t>
  </si>
  <si>
    <t>Ca</t>
  </si>
  <si>
    <t>Na</t>
  </si>
  <si>
    <t>New (Simple) Barometers</t>
  </si>
  <si>
    <t>Global Calibration</t>
  </si>
  <si>
    <t>Felsic Liquids</t>
  </si>
  <si>
    <t>Preferred</t>
  </si>
  <si>
    <t>Pressure</t>
  </si>
  <si>
    <t>P(Gpa)</t>
  </si>
  <si>
    <t>Temperature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</si>
</sst>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
    <numFmt numFmtId="165" formatCode="0.0000"/>
    <numFmt numFmtId="166" formatCode="0.0"/>
    <numFmt numFmtId="167" formatCode="0.000"/>
  </numFmts>
  <fonts count="20" x14ac:knownFonts="1">
    <font>
      <sz val="10"/>
      <name val="Verdana"/>
    </font>
    <font>
      <sz val="10"/>
      <name val="Verdana"/>
      <family val="2"/>
    </font>
    <font>
      <sz val="8"/>
      <name val="Verdana"/>
      <family val="2"/>
    </font>
    <font>
      <b/>
      <sz val="18"/>
      <color indexed="8"/>
      <name val="Verdana"/>
      <family val="2"/>
    </font>
    <font>
      <sz val="10"/>
      <color indexed="8"/>
      <name val="Verdana"/>
      <family val="2"/>
    </font>
    <font>
      <sz val="18"/>
      <color indexed="8"/>
      <name val="Verdana"/>
      <family val="2"/>
    </font>
    <font>
      <sz val="14"/>
      <color indexed="8"/>
      <name val="Verdana"/>
      <family val="2"/>
    </font>
    <font>
      <sz val="10"/>
      <name val="Verdana"/>
      <family val="2"/>
    </font>
    <font>
      <b/>
      <sz val="10"/>
      <color indexed="8"/>
      <name val="Verdana"/>
      <family val="2"/>
    </font>
    <font>
      <sz val="10"/>
      <name val="Verdana"/>
      <family val="2"/>
    </font>
    <font>
      <b/>
      <sz val="14"/>
      <name val="Verdana"/>
      <family val="2"/>
    </font>
    <font>
      <b/>
      <sz val="18"/>
      <name val="Geneva"/>
      <family val="2"/>
    </font>
    <font>
      <sz val="14"/>
      <name val="Verdana"/>
      <family val="2"/>
    </font>
    <font>
      <b/>
      <sz val="12"/>
      <name val="Verdana"/>
      <family val="2"/>
    </font>
    <font>
      <sz val="10"/>
      <color theme="1"/>
      <name val="Verdana"/>
      <family val="2"/>
    </font>
    <font>
      <b/>
      <sz val="10"/>
      <name val="Verdana"/>
      <family val="2"/>
    </font>
    <font>
      <sz val="10"/>
      <color rgb="FF000000"/>
      <name val="Tahoma"/>
      <family val="2"/>
    </font>
    <font>
      <b/>
      <sz val="10"/>
      <color rgb="FF000000"/>
      <name val="Tahoma"/>
      <family val="2"/>
    </font>
    <font>
      <sz val="10"/>
      <color rgb="FF000000"/>
      <name val="Verdana"/>
      <family val="2"/>
    </font>
    <font>
      <b/>
      <sz val="10"/>
      <color theme="1"/>
      <name val="Verdana"/>
      <family val="2"/>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0" fillId="0" borderId="0" xfId="0" applyFill="1"/>
    <xf numFmtId="164" fontId="0" fillId="0" borderId="0" xfId="0" applyNumberFormat="1" applyFill="1"/>
    <xf numFmtId="0" fontId="3" fillId="0" borderId="0" xfId="0" applyFont="1"/>
    <xf numFmtId="0" fontId="4" fillId="0" borderId="0" xfId="0" applyFont="1"/>
    <xf numFmtId="0" fontId="5" fillId="0" borderId="0" xfId="0" applyFont="1"/>
    <xf numFmtId="0" fontId="6" fillId="0" borderId="0" xfId="0" applyFont="1"/>
    <xf numFmtId="0" fontId="1" fillId="0" borderId="0" xfId="0" applyFont="1" applyFill="1"/>
    <xf numFmtId="0" fontId="7" fillId="0" borderId="0" xfId="0" applyFont="1" applyFill="1"/>
    <xf numFmtId="0" fontId="7" fillId="0" borderId="0" xfId="0" applyFont="1"/>
    <xf numFmtId="164" fontId="7" fillId="0" borderId="0" xfId="0" applyNumberFormat="1" applyFont="1" applyFill="1"/>
    <xf numFmtId="0" fontId="4" fillId="0" borderId="0" xfId="0" applyFont="1" applyFill="1" applyAlignment="1">
      <alignment horizontal="left"/>
    </xf>
    <xf numFmtId="0" fontId="8" fillId="0" borderId="0" xfId="0" applyFont="1"/>
    <xf numFmtId="0" fontId="8" fillId="0" borderId="0" xfId="0" applyFont="1" applyAlignment="1">
      <alignment horizontal="left"/>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8" fillId="0" borderId="0" xfId="0" applyFont="1" applyAlignment="1">
      <alignment horizontal="center"/>
    </xf>
    <xf numFmtId="0" fontId="8" fillId="2" borderId="7" xfId="0" applyFont="1" applyFill="1" applyBorder="1" applyAlignment="1">
      <alignment horizontal="center"/>
    </xf>
    <xf numFmtId="0" fontId="4" fillId="0" borderId="8" xfId="0" applyFont="1" applyFill="1" applyBorder="1"/>
    <xf numFmtId="0" fontId="4" fillId="0" borderId="9" xfId="0" applyFont="1" applyFill="1" applyBorder="1"/>
    <xf numFmtId="0" fontId="4" fillId="0" borderId="8" xfId="0" applyFont="1" applyFill="1" applyBorder="1" applyAlignment="1">
      <alignment horizontal="center"/>
    </xf>
    <xf numFmtId="0" fontId="4" fillId="0" borderId="9" xfId="0" applyFont="1" applyFill="1" applyBorder="1" applyAlignment="1">
      <alignment horizontal="center"/>
    </xf>
    <xf numFmtId="164" fontId="1" fillId="0" borderId="0" xfId="0" applyNumberFormat="1" applyFont="1" applyFill="1"/>
    <xf numFmtId="0" fontId="7" fillId="0" borderId="0" xfId="0" applyFont="1" applyFill="1" applyAlignment="1">
      <alignment horizontal="center"/>
    </xf>
    <xf numFmtId="0" fontId="7" fillId="0" borderId="0" xfId="0" applyFont="1" applyFill="1" applyAlignment="1">
      <alignment horizontal="left"/>
    </xf>
    <xf numFmtId="0" fontId="9" fillId="0" borderId="0" xfId="0" applyFont="1" applyFill="1"/>
    <xf numFmtId="0" fontId="9" fillId="2" borderId="0" xfId="0" applyFont="1" applyFill="1" applyAlignment="1">
      <alignment horizontal="center"/>
    </xf>
    <xf numFmtId="165" fontId="9" fillId="0" borderId="0" xfId="0" applyNumberFormat="1" applyFont="1" applyFill="1"/>
    <xf numFmtId="0" fontId="8" fillId="2" borderId="0" xfId="0" applyFont="1" applyFill="1" applyAlignment="1">
      <alignment horizontal="left"/>
    </xf>
    <xf numFmtId="0" fontId="4" fillId="2" borderId="0" xfId="0" applyFont="1" applyFill="1"/>
    <xf numFmtId="0" fontId="4" fillId="2" borderId="0" xfId="0" applyFont="1" applyFill="1" applyAlignment="1">
      <alignment horizontal="center"/>
    </xf>
    <xf numFmtId="0" fontId="4" fillId="0" borderId="0" xfId="0" applyFont="1" applyFill="1"/>
    <xf numFmtId="0" fontId="8" fillId="0" borderId="0"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left"/>
    </xf>
    <xf numFmtId="0" fontId="7" fillId="3" borderId="0" xfId="0" applyFont="1" applyFill="1"/>
    <xf numFmtId="166" fontId="9" fillId="3" borderId="0" xfId="0" applyNumberFormat="1" applyFont="1" applyFill="1" applyAlignment="1">
      <alignment horizontal="center"/>
    </xf>
    <xf numFmtId="165" fontId="9" fillId="3" borderId="0" xfId="0" applyNumberFormat="1" applyFont="1" applyFill="1"/>
    <xf numFmtId="0" fontId="7" fillId="0" borderId="1" xfId="0" applyFont="1" applyFill="1" applyBorder="1"/>
    <xf numFmtId="0" fontId="7" fillId="0" borderId="10" xfId="0" applyFont="1" applyFill="1" applyBorder="1"/>
    <xf numFmtId="0" fontId="7" fillId="0" borderId="10" xfId="0" applyFont="1" applyBorder="1"/>
    <xf numFmtId="0" fontId="7" fillId="0" borderId="2" xfId="0" applyFont="1" applyBorder="1"/>
    <xf numFmtId="0" fontId="7" fillId="0" borderId="3" xfId="0" applyFont="1" applyFill="1" applyBorder="1"/>
    <xf numFmtId="0" fontId="7" fillId="0" borderId="0" xfId="0" applyFont="1" applyFill="1" applyBorder="1"/>
    <xf numFmtId="0" fontId="7" fillId="0" borderId="0" xfId="0" applyFont="1" applyBorder="1"/>
    <xf numFmtId="0" fontId="7" fillId="0" borderId="4" xfId="0" applyFont="1" applyFill="1" applyBorder="1"/>
    <xf numFmtId="0" fontId="9" fillId="0" borderId="5" xfId="0" applyFont="1" applyFill="1" applyBorder="1"/>
    <xf numFmtId="0" fontId="9" fillId="0" borderId="7" xfId="0" applyFont="1" applyFill="1" applyBorder="1"/>
    <xf numFmtId="0" fontId="9" fillId="0" borderId="6" xfId="0" applyFont="1" applyFill="1" applyBorder="1"/>
    <xf numFmtId="0" fontId="7" fillId="0" borderId="2" xfId="0" applyFont="1" applyFill="1" applyBorder="1"/>
    <xf numFmtId="0" fontId="7" fillId="0" borderId="11" xfId="0" applyFont="1" applyFill="1" applyBorder="1"/>
    <xf numFmtId="0" fontId="9" fillId="0" borderId="12" xfId="0" applyFont="1" applyFill="1" applyBorder="1"/>
    <xf numFmtId="164" fontId="7" fillId="3" borderId="0" xfId="0" applyNumberFormat="1" applyFont="1" applyFill="1"/>
    <xf numFmtId="0" fontId="10" fillId="3" borderId="0" xfId="0" applyFont="1" applyFill="1"/>
    <xf numFmtId="0" fontId="7" fillId="3" borderId="0" xfId="0" applyFont="1" applyFill="1" applyAlignment="1">
      <alignment horizontal="center"/>
    </xf>
    <xf numFmtId="0" fontId="4" fillId="0" borderId="0" xfId="0" applyFont="1" applyFill="1" applyAlignment="1">
      <alignment horizontal="center"/>
    </xf>
    <xf numFmtId="0" fontId="9" fillId="3" borderId="0" xfId="0" applyFont="1" applyFill="1" applyAlignment="1">
      <alignment horizontal="center"/>
    </xf>
    <xf numFmtId="0" fontId="9" fillId="3" borderId="7" xfId="0" applyFont="1" applyFill="1" applyBorder="1" applyAlignment="1">
      <alignment horizontal="center"/>
    </xf>
    <xf numFmtId="0" fontId="6" fillId="0" borderId="13" xfId="0" applyFont="1" applyFill="1" applyBorder="1" applyAlignment="1">
      <alignment horizontal="left"/>
    </xf>
    <xf numFmtId="0" fontId="9" fillId="0" borderId="0" xfId="0" applyFont="1" applyFill="1" applyBorder="1" applyAlignment="1">
      <alignment horizontal="center"/>
    </xf>
    <xf numFmtId="166" fontId="9" fillId="0" borderId="0" xfId="0" applyNumberFormat="1" applyFont="1" applyFill="1" applyAlignment="1">
      <alignment horizontal="center"/>
    </xf>
    <xf numFmtId="167" fontId="0" fillId="0" borderId="0" xfId="0" applyNumberFormat="1" applyFill="1" applyAlignment="1">
      <alignment horizontal="center"/>
    </xf>
    <xf numFmtId="167" fontId="1" fillId="0" borderId="0" xfId="0" applyNumberFormat="1" applyFont="1" applyFill="1" applyAlignment="1">
      <alignment horizontal="center"/>
    </xf>
    <xf numFmtId="167" fontId="7" fillId="0" borderId="0" xfId="0" applyNumberFormat="1" applyFont="1" applyFill="1" applyAlignment="1">
      <alignment horizontal="center"/>
    </xf>
    <xf numFmtId="167" fontId="10" fillId="3" borderId="0" xfId="0" applyNumberFormat="1" applyFont="1" applyFill="1" applyAlignment="1">
      <alignment horizontal="center"/>
    </xf>
    <xf numFmtId="167" fontId="7" fillId="3" borderId="0" xfId="0" applyNumberFormat="1" applyFont="1" applyFill="1" applyAlignment="1">
      <alignment horizontal="center"/>
    </xf>
    <xf numFmtId="167" fontId="9" fillId="3" borderId="7" xfId="0" applyNumberFormat="1" applyFont="1" applyFill="1" applyBorder="1" applyAlignment="1">
      <alignment horizontal="center"/>
    </xf>
    <xf numFmtId="167" fontId="9" fillId="3" borderId="0" xfId="0" applyNumberFormat="1" applyFont="1" applyFill="1" applyAlignment="1">
      <alignment horizontal="center"/>
    </xf>
    <xf numFmtId="0" fontId="11" fillId="0" borderId="0" xfId="0" applyFont="1"/>
    <xf numFmtId="0" fontId="10" fillId="0" borderId="1" xfId="0" applyFont="1" applyBorder="1"/>
    <xf numFmtId="0" fontId="12" fillId="0" borderId="10" xfId="0" applyFont="1" applyBorder="1"/>
    <xf numFmtId="0" fontId="12" fillId="0" borderId="2" xfId="0" applyFont="1" applyBorder="1"/>
    <xf numFmtId="0" fontId="12" fillId="0" borderId="5" xfId="0" applyFont="1" applyBorder="1"/>
    <xf numFmtId="0" fontId="10" fillId="0" borderId="14" xfId="0" applyFont="1" applyBorder="1"/>
    <xf numFmtId="0" fontId="12" fillId="0" borderId="6" xfId="0" applyFont="1" applyBorder="1"/>
    <xf numFmtId="0" fontId="12" fillId="0" borderId="0" xfId="0" applyFont="1" applyBorder="1"/>
    <xf numFmtId="0" fontId="13" fillId="0" borderId="0" xfId="0" applyFont="1"/>
    <xf numFmtId="0" fontId="10" fillId="0" borderId="5" xfId="0" applyFont="1" applyBorder="1"/>
    <xf numFmtId="0" fontId="10" fillId="0" borderId="0" xfId="0" applyFont="1"/>
    <xf numFmtId="0" fontId="0" fillId="0" borderId="10" xfId="0" applyBorder="1"/>
    <xf numFmtId="0" fontId="0" fillId="0" borderId="0" xfId="0" applyFill="1" applyAlignment="1">
      <alignment horizontal="center"/>
    </xf>
    <xf numFmtId="0" fontId="1" fillId="0" borderId="0" xfId="0" applyFont="1" applyFill="1" applyAlignment="1">
      <alignment horizontal="center"/>
    </xf>
    <xf numFmtId="0" fontId="15" fillId="3" borderId="0" xfId="0" applyFont="1" applyFill="1" applyAlignment="1">
      <alignment horizontal="center"/>
    </xf>
    <xf numFmtId="0" fontId="13" fillId="4" borderId="0" xfId="0" applyFont="1" applyFill="1" applyAlignment="1">
      <alignment horizontal="left"/>
    </xf>
    <xf numFmtId="0" fontId="7" fillId="4" borderId="0" xfId="0" applyFont="1" applyFill="1" applyAlignment="1">
      <alignment horizontal="center"/>
    </xf>
    <xf numFmtId="0" fontId="1" fillId="4" borderId="0" xfId="0" applyFont="1" applyFill="1" applyBorder="1" applyAlignment="1">
      <alignment horizontal="center"/>
    </xf>
    <xf numFmtId="0" fontId="9" fillId="4" borderId="7" xfId="0" applyFont="1" applyFill="1" applyBorder="1" applyAlignment="1">
      <alignment horizontal="center"/>
    </xf>
    <xf numFmtId="166" fontId="9" fillId="4" borderId="0" xfId="0" applyNumberFormat="1" applyFont="1" applyFill="1" applyAlignment="1">
      <alignment horizontal="center"/>
    </xf>
    <xf numFmtId="0" fontId="19" fillId="0" borderId="7" xfId="0" applyFont="1" applyFill="1" applyBorder="1" applyAlignment="1">
      <alignment horizontal="center"/>
    </xf>
    <xf numFmtId="0" fontId="14" fillId="0" borderId="0" xfId="0" applyFont="1" applyFill="1" applyAlignment="1">
      <alignment horizontal="center"/>
    </xf>
    <xf numFmtId="0" fontId="15" fillId="3" borderId="7" xfId="0" applyFont="1" applyFill="1" applyBorder="1" applyAlignment="1">
      <alignment horizontal="center"/>
    </xf>
    <xf numFmtId="166" fontId="15" fillId="3"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9292929292929"/>
          <c:y val="3.7037037037037035E-2"/>
          <c:w val="0.83030303030303032"/>
          <c:h val="0.83877995642701531"/>
        </c:manualLayout>
      </c:layout>
      <c:scatterChart>
        <c:scatterStyle val="lineMarker"/>
        <c:varyColors val="0"/>
        <c:ser>
          <c:idx val="0"/>
          <c:order val="0"/>
          <c:spPr>
            <a:ln w="19050">
              <a:noFill/>
            </a:ln>
          </c:spPr>
          <c:marker>
            <c:symbol val="circle"/>
            <c:size val="7"/>
            <c:spPr>
              <a:noFill/>
              <a:ln>
                <a:solidFill>
                  <a:srgbClr val="000000"/>
                </a:solidFill>
                <a:prstDash val="solid"/>
              </a:ln>
            </c:spPr>
          </c:marker>
          <c:xVal>
            <c:numRef>
              <c:f>'Opx-liquid Input &amp; Models'!$AZ$16:$AZ$29</c:f>
              <c:numCache>
                <c:formatCode>General</c:formatCode>
                <c:ptCount val="14"/>
                <c:pt idx="0">
                  <c:v>36.878073112517036</c:v>
                </c:pt>
                <c:pt idx="1">
                  <c:v>30.411673722857529</c:v>
                </c:pt>
                <c:pt idx="2">
                  <c:v>36.326865954623017</c:v>
                </c:pt>
                <c:pt idx="3">
                  <c:v>54.859027439741403</c:v>
                </c:pt>
                <c:pt idx="4">
                  <c:v>72.353443735823802</c:v>
                </c:pt>
                <c:pt idx="5">
                  <c:v>68.076233079378397</c:v>
                </c:pt>
                <c:pt idx="6">
                  <c:v>61.20012829223522</c:v>
                </c:pt>
                <c:pt idx="7">
                  <c:v>70.850983486272327</c:v>
                </c:pt>
                <c:pt idx="8">
                  <c:v>55.871360898855002</c:v>
                </c:pt>
                <c:pt idx="9">
                  <c:v>78.570069590946872</c:v>
                </c:pt>
                <c:pt idx="10">
                  <c:v>74.524855502659619</c:v>
                </c:pt>
                <c:pt idx="11">
                  <c:v>70.258576950397128</c:v>
                </c:pt>
                <c:pt idx="12">
                  <c:v>17.70732480152094</c:v>
                </c:pt>
                <c:pt idx="13">
                  <c:v>17.45960113168903</c:v>
                </c:pt>
              </c:numCache>
            </c:numRef>
          </c:xVal>
          <c:yVal>
            <c:numRef>
              <c:f>'Opx-liquid Input &amp; Models'!$BA$16:$BA$29</c:f>
              <c:numCache>
                <c:formatCode>General</c:formatCode>
                <c:ptCount val="14"/>
                <c:pt idx="0">
                  <c:v>67.833050105566713</c:v>
                </c:pt>
                <c:pt idx="1">
                  <c:v>67.134397475565038</c:v>
                </c:pt>
                <c:pt idx="2">
                  <c:v>67.121857397994219</c:v>
                </c:pt>
                <c:pt idx="3">
                  <c:v>79.182551939302527</c:v>
                </c:pt>
                <c:pt idx="4">
                  <c:v>88.841512942984011</c:v>
                </c:pt>
                <c:pt idx="5">
                  <c:v>87.318912929260847</c:v>
                </c:pt>
                <c:pt idx="6">
                  <c:v>84.061102592428867</c:v>
                </c:pt>
                <c:pt idx="7">
                  <c:v>87.735989894350013</c:v>
                </c:pt>
                <c:pt idx="8">
                  <c:v>79.672258258158109</c:v>
                </c:pt>
                <c:pt idx="9">
                  <c:v>91.700063893838674</c:v>
                </c:pt>
                <c:pt idx="10">
                  <c:v>90.196183922134608</c:v>
                </c:pt>
                <c:pt idx="11">
                  <c:v>87.631729987404938</c:v>
                </c:pt>
                <c:pt idx="12">
                  <c:v>56.590697463290276</c:v>
                </c:pt>
                <c:pt idx="13">
                  <c:v>56.251275968562986</c:v>
                </c:pt>
              </c:numCache>
            </c:numRef>
          </c:yVal>
          <c:smooth val="0"/>
          <c:extLst>
            <c:ext xmlns:c16="http://schemas.microsoft.com/office/drawing/2014/chart" uri="{C3380CC4-5D6E-409C-BE32-E72D297353CC}">
              <c16:uniqueId val="{00000000-9217-294D-A2B7-26518181ECEB}"/>
            </c:ext>
          </c:extLst>
        </c:ser>
        <c:ser>
          <c:idx val="1"/>
          <c:order val="1"/>
          <c:spPr>
            <a:ln w="12700">
              <a:solidFill>
                <a:srgbClr val="000000"/>
              </a:solidFill>
              <a:prstDash val="solid"/>
            </a:ln>
          </c:spPr>
          <c:marker>
            <c:symbol val="none"/>
          </c:marker>
          <c:xVal>
            <c:numRef>
              <c:f>'Rhodes Diagram Calcs'!$C$10:$C$41</c:f>
              <c:numCache>
                <c:formatCode>General</c:formatCode>
                <c:ptCount val="32"/>
                <c:pt idx="0">
                  <c:v>0</c:v>
                </c:pt>
                <c:pt idx="1">
                  <c:v>2.8182701652089408</c:v>
                </c:pt>
                <c:pt idx="2">
                  <c:v>5.4820415879017013</c:v>
                </c:pt>
                <c:pt idx="3">
                  <c:v>8.0036798528058881</c:v>
                </c:pt>
                <c:pt idx="4">
                  <c:v>10.394265232974909</c:v>
                </c:pt>
                <c:pt idx="5">
                  <c:v>12.663755458515283</c:v>
                </c:pt>
                <c:pt idx="6">
                  <c:v>14.821124361158432</c:v>
                </c:pt>
                <c:pt idx="7">
                  <c:v>16.874480465502906</c:v>
                </c:pt>
                <c:pt idx="8">
                  <c:v>18.831168831168831</c:v>
                </c:pt>
                <c:pt idx="9">
                  <c:v>20.697858842188737</c:v>
                </c:pt>
                <c:pt idx="10">
                  <c:v>22.480620155038757</c:v>
                </c:pt>
                <c:pt idx="11">
                  <c:v>24.184988627748297</c:v>
                </c:pt>
                <c:pt idx="12">
                  <c:v>25.816023738872403</c:v>
                </c:pt>
                <c:pt idx="13">
                  <c:v>27.378358750907772</c:v>
                </c:pt>
                <c:pt idx="14">
                  <c:v>28.876244665718346</c:v>
                </c:pt>
                <c:pt idx="15">
                  <c:v>30.313588850174209</c:v>
                </c:pt>
                <c:pt idx="16">
                  <c:v>31.693989071038253</c:v>
                </c:pt>
                <c:pt idx="17">
                  <c:v>33.020763563295382</c:v>
                </c:pt>
                <c:pt idx="18">
                  <c:v>38.949938949938954</c:v>
                </c:pt>
                <c:pt idx="19">
                  <c:v>43.914750420639372</c:v>
                </c:pt>
                <c:pt idx="20">
                  <c:v>48.132780082987551</c:v>
                </c:pt>
                <c:pt idx="21">
                  <c:v>51.760733236854797</c:v>
                </c:pt>
                <c:pt idx="22">
                  <c:v>54.91433724075744</c:v>
                </c:pt>
                <c:pt idx="23">
                  <c:v>60.127591706539079</c:v>
                </c:pt>
                <c:pt idx="24">
                  <c:v>64.260185847033583</c:v>
                </c:pt>
                <c:pt idx="25">
                  <c:v>67.616580310880835</c:v>
                </c:pt>
                <c:pt idx="26">
                  <c:v>74.358974358974365</c:v>
                </c:pt>
                <c:pt idx="27">
                  <c:v>85.294117647058826</c:v>
                </c:pt>
                <c:pt idx="28">
                  <c:v>92.063492063492063</c:v>
                </c:pt>
                <c:pt idx="29">
                  <c:v>95.867768595041326</c:v>
                </c:pt>
                <c:pt idx="30">
                  <c:v>98.305084745762713</c:v>
                </c:pt>
                <c:pt idx="31">
                  <c:v>99.656357388316152</c:v>
                </c:pt>
              </c:numCache>
            </c:numRef>
          </c:xVal>
          <c:yVal>
            <c:numRef>
              <c:f>'Rhodes Diagram Calcs'!$D$10:$D$41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1-9217-294D-A2B7-26518181ECEB}"/>
            </c:ext>
          </c:extLst>
        </c:ser>
        <c:ser>
          <c:idx val="2"/>
          <c:order val="2"/>
          <c:spPr>
            <a:ln w="12700">
              <a:solidFill>
                <a:srgbClr val="000000"/>
              </a:solidFill>
              <a:prstDash val="lgDash"/>
            </a:ln>
          </c:spPr>
          <c:marker>
            <c:symbol val="none"/>
          </c:marker>
          <c:xVal>
            <c:numRef>
              <c:f>'Rhodes Diagram Calcs'!$H$10:$H$41</c:f>
              <c:numCache>
                <c:formatCode>General</c:formatCode>
                <c:ptCount val="32"/>
                <c:pt idx="0">
                  <c:v>0</c:v>
                </c:pt>
                <c:pt idx="1">
                  <c:v>2.2482893450635388</c:v>
                </c:pt>
                <c:pt idx="2">
                  <c:v>4.3977055449330775</c:v>
                </c:pt>
                <c:pt idx="3">
                  <c:v>6.4546304957904583</c:v>
                </c:pt>
                <c:pt idx="4">
                  <c:v>8.4249084249084234</c:v>
                </c:pt>
                <c:pt idx="5">
                  <c:v>10.31390134529148</c:v>
                </c:pt>
                <c:pt idx="6">
                  <c:v>12.126537785588752</c:v>
                </c:pt>
                <c:pt idx="7">
                  <c:v>13.867355727820842</c:v>
                </c:pt>
                <c:pt idx="8">
                  <c:v>15.54054054054054</c:v>
                </c:pt>
                <c:pt idx="9">
                  <c:v>17.149958574979287</c:v>
                </c:pt>
                <c:pt idx="10">
                  <c:v>18.699186991869919</c:v>
                </c:pt>
                <c:pt idx="11">
                  <c:v>20.191540303272145</c:v>
                </c:pt>
                <c:pt idx="12">
                  <c:v>21.630094043887144</c:v>
                </c:pt>
                <c:pt idx="13">
                  <c:v>23.017705927636644</c:v>
                </c:pt>
                <c:pt idx="14">
                  <c:v>24.35703479576399</c:v>
                </c:pt>
                <c:pt idx="15">
                  <c:v>25.650557620817846</c:v>
                </c:pt>
                <c:pt idx="16">
                  <c:v>26.900584795321638</c:v>
                </c:pt>
                <c:pt idx="17">
                  <c:v>28.109273903666423</c:v>
                </c:pt>
                <c:pt idx="18">
                  <c:v>33.59893758300133</c:v>
                </c:pt>
                <c:pt idx="19">
                  <c:v>38.309685379395432</c:v>
                </c:pt>
                <c:pt idx="20">
                  <c:v>42.396313364055295</c:v>
                </c:pt>
                <c:pt idx="21">
                  <c:v>45.975148568341432</c:v>
                </c:pt>
                <c:pt idx="22">
                  <c:v>49.135300101729399</c:v>
                </c:pt>
                <c:pt idx="23">
                  <c:v>54.462659380692173</c:v>
                </c:pt>
                <c:pt idx="24">
                  <c:v>58.779884583676825</c:v>
                </c:pt>
                <c:pt idx="25">
                  <c:v>62.349397590361448</c:v>
                </c:pt>
                <c:pt idx="26">
                  <c:v>69.696969696969688</c:v>
                </c:pt>
                <c:pt idx="27">
                  <c:v>82.142857142857139</c:v>
                </c:pt>
                <c:pt idx="28">
                  <c:v>90.196078431372541</c:v>
                </c:pt>
                <c:pt idx="29">
                  <c:v>94.845360824742258</c:v>
                </c:pt>
                <c:pt idx="30">
                  <c:v>97.872340425531917</c:v>
                </c:pt>
                <c:pt idx="31">
                  <c:v>99.567099567099561</c:v>
                </c:pt>
              </c:numCache>
            </c:numRef>
          </c:xVal>
          <c:yVal>
            <c:numRef>
              <c:f>'Rhodes Diagram Calcs'!$I$10:$I$41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2-9217-294D-A2B7-26518181ECEB}"/>
            </c:ext>
          </c:extLst>
        </c:ser>
        <c:ser>
          <c:idx val="3"/>
          <c:order val="3"/>
          <c:spPr>
            <a:ln w="12700">
              <a:solidFill>
                <a:srgbClr val="000000"/>
              </a:solidFill>
              <a:prstDash val="lgDash"/>
            </a:ln>
          </c:spPr>
          <c:marker>
            <c:symbol val="none"/>
          </c:marker>
          <c:xVal>
            <c:numRef>
              <c:f>'Rhodes Diagram Calcs'!$M$10:$M$41</c:f>
              <c:numCache>
                <c:formatCode>General</c:formatCode>
                <c:ptCount val="32"/>
                <c:pt idx="0">
                  <c:v>0</c:v>
                </c:pt>
                <c:pt idx="1">
                  <c:v>3.3816425120772946</c:v>
                </c:pt>
                <c:pt idx="2">
                  <c:v>6.5420560747663536</c:v>
                </c:pt>
                <c:pt idx="3">
                  <c:v>9.502262443438914</c:v>
                </c:pt>
                <c:pt idx="4">
                  <c:v>12.280701754385964</c:v>
                </c:pt>
                <c:pt idx="5">
                  <c:v>14.893617021276595</c:v>
                </c:pt>
                <c:pt idx="6">
                  <c:v>17.355371900826448</c:v>
                </c:pt>
                <c:pt idx="7">
                  <c:v>19.678714859437751</c:v>
                </c:pt>
                <c:pt idx="8">
                  <c:v>21.874999999999996</c:v>
                </c:pt>
                <c:pt idx="9">
                  <c:v>23.954372623574145</c:v>
                </c:pt>
                <c:pt idx="10">
                  <c:v>25.925925925925924</c:v>
                </c:pt>
                <c:pt idx="11">
                  <c:v>27.797833935018051</c:v>
                </c:pt>
                <c:pt idx="12">
                  <c:v>29.577464788732396</c:v>
                </c:pt>
                <c:pt idx="13">
                  <c:v>31.271477663230232</c:v>
                </c:pt>
                <c:pt idx="14">
                  <c:v>32.885906040268452</c:v>
                </c:pt>
                <c:pt idx="15">
                  <c:v>34.42622950819672</c:v>
                </c:pt>
                <c:pt idx="16">
                  <c:v>35.897435897435891</c:v>
                </c:pt>
                <c:pt idx="17">
                  <c:v>37.304075235109721</c:v>
                </c:pt>
                <c:pt idx="18">
                  <c:v>43.502824858757059</c:v>
                </c:pt>
                <c:pt idx="19">
                  <c:v>48.586118251928028</c:v>
                </c:pt>
                <c:pt idx="20">
                  <c:v>52.830188679245275</c:v>
                </c:pt>
                <c:pt idx="21">
                  <c:v>56.427015250544663</c:v>
                </c:pt>
                <c:pt idx="22">
                  <c:v>59.514170040485837</c:v>
                </c:pt>
                <c:pt idx="23">
                  <c:v>64.539007092198574</c:v>
                </c:pt>
                <c:pt idx="24">
                  <c:v>68.454258675078862</c:v>
                </c:pt>
                <c:pt idx="25">
                  <c:v>71.590909090909093</c:v>
                </c:pt>
                <c:pt idx="26">
                  <c:v>77.777777777777771</c:v>
                </c:pt>
                <c:pt idx="27">
                  <c:v>87.5</c:v>
                </c:pt>
                <c:pt idx="28">
                  <c:v>93.333333333333329</c:v>
                </c:pt>
                <c:pt idx="29">
                  <c:v>96.551724137931032</c:v>
                </c:pt>
                <c:pt idx="30">
                  <c:v>98.591549295774641</c:v>
                </c:pt>
                <c:pt idx="31">
                  <c:v>99.715099715099711</c:v>
                </c:pt>
              </c:numCache>
            </c:numRef>
          </c:xVal>
          <c:yVal>
            <c:numRef>
              <c:f>'Rhodes Diagram Calcs'!$N$10:$N$41</c:f>
              <c:numCache>
                <c:formatCode>General</c:formatCode>
                <c:ptCount val="32"/>
                <c:pt idx="0">
                  <c:v>0</c:v>
                </c:pt>
                <c:pt idx="1">
                  <c:v>9.0909090909090899</c:v>
                </c:pt>
                <c:pt idx="2">
                  <c:v>16.666666666666668</c:v>
                </c:pt>
                <c:pt idx="3">
                  <c:v>23.076923076923077</c:v>
                </c:pt>
                <c:pt idx="4">
                  <c:v>28.571428571428573</c:v>
                </c:pt>
                <c:pt idx="5">
                  <c:v>33.333333333333336</c:v>
                </c:pt>
                <c:pt idx="6">
                  <c:v>37.5</c:v>
                </c:pt>
                <c:pt idx="7">
                  <c:v>41.176470588235297</c:v>
                </c:pt>
                <c:pt idx="8">
                  <c:v>44.444444444444443</c:v>
                </c:pt>
                <c:pt idx="9">
                  <c:v>47.368421052631582</c:v>
                </c:pt>
                <c:pt idx="10">
                  <c:v>50</c:v>
                </c:pt>
                <c:pt idx="11">
                  <c:v>52.380952380952387</c:v>
                </c:pt>
                <c:pt idx="12">
                  <c:v>54.54545454545454</c:v>
                </c:pt>
                <c:pt idx="13">
                  <c:v>56.521739130434788</c:v>
                </c:pt>
                <c:pt idx="14">
                  <c:v>58.333333333333336</c:v>
                </c:pt>
                <c:pt idx="15">
                  <c:v>60</c:v>
                </c:pt>
                <c:pt idx="16">
                  <c:v>61.538461538461533</c:v>
                </c:pt>
                <c:pt idx="17">
                  <c:v>62.962962962962962</c:v>
                </c:pt>
                <c:pt idx="18">
                  <c:v>68.75</c:v>
                </c:pt>
                <c:pt idx="19">
                  <c:v>72.972972972972968</c:v>
                </c:pt>
                <c:pt idx="20">
                  <c:v>76.19047619047619</c:v>
                </c:pt>
                <c:pt idx="21">
                  <c:v>78.723404255319153</c:v>
                </c:pt>
                <c:pt idx="22">
                  <c:v>80.769230769230759</c:v>
                </c:pt>
                <c:pt idx="23">
                  <c:v>83.870967741935488</c:v>
                </c:pt>
                <c:pt idx="24">
                  <c:v>86.111111111111114</c:v>
                </c:pt>
                <c:pt idx="25">
                  <c:v>87.804878048780495</c:v>
                </c:pt>
                <c:pt idx="26">
                  <c:v>90.909090909090907</c:v>
                </c:pt>
                <c:pt idx="27">
                  <c:v>95.238095238095241</c:v>
                </c:pt>
                <c:pt idx="28">
                  <c:v>97.560975609756099</c:v>
                </c:pt>
                <c:pt idx="29">
                  <c:v>98.76543209876543</c:v>
                </c:pt>
                <c:pt idx="30">
                  <c:v>99.50248756218906</c:v>
                </c:pt>
                <c:pt idx="31">
                  <c:v>99.900099900099903</c:v>
                </c:pt>
              </c:numCache>
            </c:numRef>
          </c:yVal>
          <c:smooth val="0"/>
          <c:extLst>
            <c:ext xmlns:c16="http://schemas.microsoft.com/office/drawing/2014/chart" uri="{C3380CC4-5D6E-409C-BE32-E72D297353CC}">
              <c16:uniqueId val="{00000003-9217-294D-A2B7-26518181ECEB}"/>
            </c:ext>
          </c:extLst>
        </c:ser>
        <c:dLbls>
          <c:showLegendKey val="0"/>
          <c:showVal val="0"/>
          <c:showCatName val="0"/>
          <c:showSerName val="0"/>
          <c:showPercent val="0"/>
          <c:showBubbleSize val="0"/>
        </c:dLbls>
        <c:axId val="1066123103"/>
        <c:axId val="1"/>
      </c:scatterChart>
      <c:valAx>
        <c:axId val="1066123103"/>
        <c:scaling>
          <c:orientation val="minMax"/>
          <c:max val="100"/>
        </c:scaling>
        <c:delete val="0"/>
        <c:axPos val="b"/>
        <c:title>
          <c:tx>
            <c:rich>
              <a:bodyPr/>
              <a:lstStyle/>
              <a:p>
                <a:pPr>
                  <a:defRPr sz="1400" b="0" i="0" u="none" strike="noStrike" baseline="0">
                    <a:solidFill>
                      <a:srgbClr val="000000"/>
                    </a:solidFill>
                    <a:latin typeface="Verdana"/>
                    <a:ea typeface="Verdana"/>
                    <a:cs typeface="Verdana"/>
                  </a:defRPr>
                </a:pPr>
                <a:r>
                  <a:rPr lang="en-US"/>
                  <a:t>100*Mg# Liquid</a:t>
                </a:r>
              </a:p>
            </c:rich>
          </c:tx>
          <c:layout>
            <c:manualLayout>
              <c:xMode val="edge"/>
              <c:yMode val="edge"/>
              <c:x val="0.42222225764289584"/>
              <c:y val="0.9281045751633987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Verdana"/>
                <a:ea typeface="Verdana"/>
                <a:cs typeface="Verdana"/>
              </a:defRPr>
            </a:pPr>
            <a:endParaRPr lang="en-US"/>
          </a:p>
        </c:txPr>
        <c:crossAx val="1"/>
        <c:crosses val="autoZero"/>
        <c:crossBetween val="midCat"/>
      </c:valAx>
      <c:valAx>
        <c:axId val="1"/>
        <c:scaling>
          <c:orientation val="minMax"/>
          <c:max val="100"/>
        </c:scaling>
        <c:delete val="0"/>
        <c:axPos val="l"/>
        <c:title>
          <c:tx>
            <c:rich>
              <a:bodyPr/>
              <a:lstStyle/>
              <a:p>
                <a:pPr>
                  <a:defRPr sz="1400" b="0" i="0" u="none" strike="noStrike" baseline="0">
                    <a:solidFill>
                      <a:srgbClr val="000000"/>
                    </a:solidFill>
                    <a:latin typeface="Verdana"/>
                    <a:ea typeface="Verdana"/>
                    <a:cs typeface="Verdana"/>
                  </a:defRPr>
                </a:pPr>
                <a:r>
                  <a:rPr lang="en-US"/>
                  <a:t>100*Mg# Orthopyroxene</a:t>
                </a:r>
              </a:p>
            </c:rich>
          </c:tx>
          <c:layout>
            <c:manualLayout>
              <c:xMode val="edge"/>
              <c:yMode val="edge"/>
              <c:x val="1.8181803691542604E-2"/>
              <c:y val="0.257080610021786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Verdana"/>
                <a:ea typeface="Verdana"/>
                <a:cs typeface="Verdana"/>
              </a:defRPr>
            </a:pPr>
            <a:endParaRPr lang="en-US"/>
          </a:p>
        </c:txPr>
        <c:crossAx val="1066123103"/>
        <c:crosses val="autoZero"/>
        <c:crossBetween val="midCat"/>
      </c:valAx>
      <c:spPr>
        <a:noFill/>
        <a:ln w="12700">
          <a:solidFill>
            <a:srgbClr val="000000"/>
          </a:solidFill>
          <a:prstDash val="solid"/>
        </a:ln>
      </c:spPr>
    </c:plotArea>
    <c:plotVisOnly val="1"/>
    <c:dispBlanksAs val="gap"/>
    <c:showDLblsOverMax val="0"/>
  </c:chart>
  <c:spPr>
    <a:noFill/>
    <a:ln w="6350">
      <a:noFill/>
    </a:ln>
  </c:spPr>
  <c:txPr>
    <a:bodyPr/>
    <a:lstStyle/>
    <a:p>
      <a:pPr>
        <a:defRPr sz="800" b="0" i="0" u="none" strike="noStrike" baseline="0">
          <a:solidFill>
            <a:srgbClr val="000000"/>
          </a:solidFill>
          <a:latin typeface="Verdana"/>
          <a:ea typeface="Verdana"/>
          <a:cs typeface="Verdan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88" workbookViewId="0"/>
  </sheetViews>
  <pageMargins left="0.75" right="0.75" top="1" bottom="1" header="0.5" footer="0.5"/>
  <pageSetup orientation="portrait" horizontalDpi="4294967292" verticalDpi="4294967292"/>
  <headerFooter alignWithMargins="0"/>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698500</xdr:colOff>
      <xdr:row>2</xdr:row>
      <xdr:rowOff>12700</xdr:rowOff>
    </xdr:from>
    <xdr:to>
      <xdr:col>11</xdr:col>
      <xdr:colOff>774700</xdr:colOff>
      <xdr:row>55</xdr:row>
      <xdr:rowOff>0</xdr:rowOff>
    </xdr:to>
    <xdr:sp macro="" textlink="">
      <xdr:nvSpPr>
        <xdr:cNvPr id="2" name="TextBox 1">
          <a:extLst>
            <a:ext uri="{FF2B5EF4-FFF2-40B4-BE49-F238E27FC236}">
              <a16:creationId xmlns:a16="http://schemas.microsoft.com/office/drawing/2014/main" id="{19536CF2-F275-7F40-92FD-E897BECF96A5}"/>
            </a:ext>
          </a:extLst>
        </xdr:cNvPr>
        <xdr:cNvSpPr txBox="1"/>
      </xdr:nvSpPr>
      <xdr:spPr>
        <a:xfrm>
          <a:off x="800100" y="342900"/>
          <a:ext cx="10566400" cy="873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600" b="1" i="0" strike="noStrike">
              <a:solidFill>
                <a:srgbClr val="000000"/>
              </a:solidFill>
              <a:latin typeface="Calibri"/>
              <a:ea typeface="Calibri"/>
              <a:cs typeface="Calibri"/>
            </a:rPr>
            <a:t>Instructions for Estimating P and T Using Orthopyroxene-based Thermobarometers</a:t>
          </a:r>
        </a:p>
        <a:p>
          <a:pPr algn="l" rtl="0">
            <a:defRPr sz="1000"/>
          </a:pPr>
          <a:endParaRPr lang="en-US" sz="1100" b="0" i="0" strike="noStrike">
            <a:solidFill>
              <a:srgbClr val="000000"/>
            </a:solidFill>
            <a:latin typeface="Calibri"/>
            <a:ea typeface="Calibri"/>
            <a:cs typeface="Calibri"/>
          </a:endParaRPr>
        </a:p>
        <a:p>
          <a:pPr algn="l" rtl="0">
            <a:defRPr sz="1000"/>
          </a:pPr>
          <a:r>
            <a:rPr lang="en-US" sz="1200" b="0" i="0" strike="noStrike">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Input</a:t>
          </a:r>
        </a:p>
        <a:p>
          <a:pPr algn="l" rtl="0">
            <a:defRPr sz="1000"/>
          </a:pPr>
          <a:r>
            <a:rPr lang="en-US" sz="1200" b="0" i="0" strike="noStrike">
              <a:solidFill>
                <a:srgbClr val="000000"/>
              </a:solidFill>
              <a:latin typeface="Calibri"/>
              <a:ea typeface="Calibri"/>
              <a:cs typeface="Calibri"/>
            </a:rPr>
            <a:t>Enter a nominal liquid composition in columns G-S (see “Opx-liquid Input &amp; Models”), leaving blank any oxides that are not available. The “liquid” could be the composition of a glass, or the whole rock, or some calculated composition – use whatever you think is most likely to be in equilibrium with a given orthopyroxene, whose composition will be entered in columns V – AG.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The calibration of Fe-Mg exchange coefficients is based on this same assumption, that all Fe is expressed as FeOt, and so there is no need to correct for Fe2O3 eve n at high oxygen fugacity.</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Settings</a:t>
          </a:r>
        </a:p>
        <a:p>
          <a:pPr algn="l" rtl="0">
            <a:defRPr sz="1000"/>
          </a:pPr>
          <a:r>
            <a:rPr lang="en-US" sz="1200" b="0" i="0" strike="noStrike">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P-T calculations</a:t>
          </a:r>
        </a:p>
        <a:p>
          <a:pPr algn="l" rtl="0">
            <a:defRPr sz="1000"/>
          </a:pPr>
          <a:r>
            <a:rPr lang="en-US" sz="1200" b="0" i="0" strike="noStrike">
              <a:solidFill>
                <a:srgbClr val="000000"/>
              </a:solidFill>
              <a:latin typeface="Calibri"/>
              <a:ea typeface="Calibri"/>
              <a:cs typeface="Calibri"/>
            </a:rPr>
            <a:t>The thermometers in columns AJ – AL  (see “Opx-liq Input &amp; Models”) require P as input and</a:t>
          </a:r>
          <a:r>
            <a:rPr lang="en-US" sz="1200" b="0" i="0" strike="noStrike" baseline="0">
              <a:solidFill>
                <a:srgbClr val="000000"/>
              </a:solidFill>
              <a:latin typeface="Calibri"/>
              <a:ea typeface="Calibri"/>
              <a:cs typeface="Calibri"/>
            </a:rPr>
            <a:t> will use the P values entered in column AN as input. The barometers in columns AO ad AP are not T-sensitive, but the barometers in columns AR - AT are, and will use the temperatures in column AM as input. In the default, AM = Eqn 28a as a thermometer and AN = Eqn. 29b as a barometer. As a matter of consistency, the preferred T and P values would then be Eqn. 28a and 29b. If it is preferred to solve for another pair of thermometers and barometers simultaneously, then edit the columns AM and AN so that they are equal to the models that you prefer. For example, if you want to test the case for simultaneously solving Eqns. 28b (thermometer) and 29c (barometer) then let AM = AL and set AN = AT. In this case, this will force these two models to refer to one another (which the preferred pair of models must to for consistency; otherwise you may have a thermomete using pressures that you do not prefer, or a barometer using temperatures that you do not prefer.</a:t>
          </a:r>
          <a:endParaRPr lang="en-US" sz="1200" b="0" i="0" strike="noStrike">
            <a:solidFill>
              <a:srgbClr val="000000"/>
            </a:solidFill>
            <a:latin typeface="Calibri"/>
            <a:ea typeface="Calibri"/>
            <a:cs typeface="Calibri"/>
          </a:endParaRP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u="sng" strike="noStrike">
              <a:solidFill>
                <a:srgbClr val="000000"/>
              </a:solidFill>
              <a:latin typeface="Calibri"/>
              <a:ea typeface="Calibri"/>
              <a:cs typeface="Calibri"/>
            </a:rPr>
            <a:t>Tests for equilibrium</a:t>
          </a:r>
        </a:p>
        <a:p>
          <a:pPr algn="l" rtl="0">
            <a:defRPr sz="1000"/>
          </a:pPr>
          <a:r>
            <a:rPr lang="en-US" sz="1200" b="0" i="0" strike="noStrike">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p>
        <a:p>
          <a:pPr algn="l" rtl="0">
            <a:defRPr sz="1000"/>
          </a:pPr>
          <a:endParaRPr lang="en-US" sz="1200" b="0" i="0" strike="noStrike">
            <a:solidFill>
              <a:srgbClr val="000000"/>
            </a:solidFill>
            <a:latin typeface="Calibri"/>
            <a:ea typeface="Calibri"/>
            <a:cs typeface="Calibri"/>
          </a:endParaRPr>
        </a:p>
        <a:p>
          <a:pPr algn="l" rtl="0">
            <a:defRPr sz="1000"/>
          </a:pPr>
          <a:r>
            <a:rPr lang="en-US" sz="1200" b="0" i="0" strike="noStrike">
              <a:solidFill>
                <a:srgbClr val="000000"/>
              </a:solidFill>
              <a:latin typeface="Calibri"/>
              <a:ea typeface="Calibri"/>
              <a:cs typeface="Calibri"/>
            </a:rPr>
            <a:t>For orthopyroxene-liquid equilibrium, the test is very similar to the very familiar test proposed by Roeder and Emslie (1970) and often portrayed in the Rhodes diagram (see chart with this name) as first proposed by Rhodes et al. (1979). The test compares the observed Fe-Mg exchange coefficient with a constant value. That value is shown in column AV (see “Opx-liq Input &amp; Models”). Experimental data indicate a value of 0.29±0.06, when all Fe is expressed as FeOt (Roeder and Emslie did not assume this</a:t>
          </a:r>
          <a:r>
            <a:rPr lang="en-US" sz="1200" b="0" i="0" strike="noStrike" baseline="0">
              <a:solidFill>
                <a:srgbClr val="000000"/>
              </a:solidFill>
              <a:latin typeface="Calibri"/>
              <a:ea typeface="Calibri"/>
              <a:cs typeface="Calibri"/>
            </a:rPr>
            <a:t> case for Fe, but accounted for Fe2O3 in their liquids; by an ironic coindence, though, their preferred value for olivine-liq Fe-Mg exchange, of ca. 0.30, works better when we let Fe = FeOt, even in experiments conducted at high fO2). </a:t>
          </a:r>
          <a:r>
            <a:rPr lang="en-US" sz="1200" b="0" i="0" strike="noStrike">
              <a:solidFill>
                <a:srgbClr val="000000"/>
              </a:solidFill>
              <a:latin typeface="Calibri"/>
              <a:ea typeface="Calibri"/>
              <a:cs typeface="Calibri"/>
            </a:rPr>
            <a:t>The test for equilibrium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a:t>
          </a:r>
        </a:p>
        <a:p>
          <a:pPr algn="l" rtl="0">
            <a:defRPr sz="1000"/>
          </a:pPr>
          <a:endParaRPr lang="en-US" sz="1200" b="0" i="0" strike="noStrike">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6273800" cy="5829300"/>
    <xdr:graphicFrame macro="">
      <xdr:nvGraphicFramePr>
        <xdr:cNvPr id="2" name="Chart 1">
          <a:extLst>
            <a:ext uri="{FF2B5EF4-FFF2-40B4-BE49-F238E27FC236}">
              <a16:creationId xmlns:a16="http://schemas.microsoft.com/office/drawing/2014/main" id="{83956C4B-BE1C-2F4C-BC31-D02E48ECD1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125" workbookViewId="0"/>
  </sheetViews>
  <sheetFormatPr baseColWidth="10" defaultRowHeight="13" x14ac:dyDescent="0.15"/>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U29"/>
  <sheetViews>
    <sheetView topLeftCell="AL1" zoomScale="169" workbookViewId="0">
      <selection activeCell="AN16" sqref="AN16"/>
    </sheetView>
  </sheetViews>
  <sheetFormatPr baseColWidth="10" defaultColWidth="10.6640625" defaultRowHeight="13" x14ac:dyDescent="0.15"/>
  <cols>
    <col min="1" max="1" width="27.5" style="1" customWidth="1"/>
    <col min="2" max="2" width="12.5" style="1" customWidth="1"/>
    <col min="3" max="3" width="20.83203125" style="1" customWidth="1"/>
    <col min="4" max="4" width="16.5" style="1" customWidth="1"/>
    <col min="5" max="34" width="10.6640625" style="1"/>
    <col min="35" max="35" width="3.5" style="1" customWidth="1"/>
    <col min="36" max="36" width="16.83203125" style="1" customWidth="1"/>
    <col min="37" max="38" width="10.6640625" style="1"/>
    <col min="39" max="40" width="14.6640625" style="1" customWidth="1"/>
    <col min="41" max="42" width="19.1640625" style="84" customWidth="1"/>
    <col min="43" max="43" width="4" style="1" customWidth="1"/>
    <col min="44" max="44" width="15.6640625" style="1" customWidth="1"/>
    <col min="45" max="45" width="15" style="2" customWidth="1"/>
    <col min="46" max="46" width="13.6640625" style="1" customWidth="1"/>
    <col min="47" max="47" width="5" style="1" customWidth="1"/>
    <col min="48" max="48" width="13.83203125" style="65" customWidth="1"/>
    <col min="49" max="49" width="5.83203125" style="1" customWidth="1"/>
    <col min="50" max="53" width="13" style="1" customWidth="1"/>
    <col min="54" max="65" width="10.6640625" style="1"/>
    <col min="66" max="66" width="5.83203125" style="1" customWidth="1"/>
    <col min="67" max="78" width="10.6640625" style="1"/>
    <col min="79" max="79" width="5.33203125" style="1" customWidth="1"/>
    <col min="80" max="90" width="10.6640625" style="1"/>
    <col min="91" max="94" width="6.5" style="1" customWidth="1"/>
    <col min="95" max="105" width="10.6640625" style="1"/>
    <col min="106" max="107" width="5" style="1" customWidth="1"/>
    <col min="108" max="119" width="8.5" style="1" customWidth="1"/>
    <col min="120" max="120" width="7.6640625" style="1" customWidth="1"/>
    <col min="121" max="121" width="8.5" style="1" customWidth="1"/>
    <col min="122" max="122" width="8.33203125" style="1" customWidth="1"/>
    <col min="123" max="123" width="2.5" style="1" customWidth="1"/>
    <col min="124" max="125" width="10.5" style="1" customWidth="1"/>
    <col min="126" max="126" width="12" style="1" customWidth="1"/>
    <col min="127" max="127" width="11.5" style="1" customWidth="1"/>
    <col min="128" max="128" width="10.33203125" style="1" customWidth="1"/>
    <col min="129" max="129" width="9.6640625" style="1" customWidth="1"/>
    <col min="130" max="130" width="8.33203125" style="1" customWidth="1"/>
    <col min="131" max="131" width="15.5" style="1" customWidth="1"/>
    <col min="132" max="132" width="8.33203125" style="1" customWidth="1"/>
    <col min="133" max="133" width="7.5" style="1" customWidth="1"/>
    <col min="134" max="134" width="5" style="1" customWidth="1"/>
    <col min="135" max="138" width="10.6640625" style="1"/>
    <col min="139" max="139" width="10.5" style="1" customWidth="1"/>
    <col min="140" max="142" width="10.6640625" style="1"/>
    <col min="143" max="144" width="9" style="1" customWidth="1"/>
    <col min="145" max="147" width="10.6640625" style="1"/>
    <col min="148" max="148" width="10.5" style="1" customWidth="1"/>
    <col min="149" max="16384" width="10.6640625" style="1"/>
  </cols>
  <sheetData>
    <row r="1" spans="1:151" ht="23" x14ac:dyDescent="0.25">
      <c r="A1" s="3" t="s">
        <v>21</v>
      </c>
    </row>
    <row r="2" spans="1:151" x14ac:dyDescent="0.15">
      <c r="A2" s="4"/>
    </row>
    <row r="3" spans="1:151" ht="23" x14ac:dyDescent="0.25">
      <c r="A3" s="5" t="s">
        <v>19</v>
      </c>
    </row>
    <row r="4" spans="1:151" ht="23" x14ac:dyDescent="0.25">
      <c r="A4" s="5" t="s">
        <v>20</v>
      </c>
    </row>
    <row r="5" spans="1:151" x14ac:dyDescent="0.15">
      <c r="A5" s="4"/>
    </row>
    <row r="6" spans="1:151" ht="18" x14ac:dyDescent="0.2">
      <c r="A6" s="6" t="s">
        <v>113</v>
      </c>
    </row>
    <row r="7" spans="1:151" ht="18" x14ac:dyDescent="0.2">
      <c r="A7" s="6" t="s">
        <v>15</v>
      </c>
    </row>
    <row r="8" spans="1:151" ht="18" x14ac:dyDescent="0.2">
      <c r="A8" s="6"/>
    </row>
    <row r="9" spans="1:151" ht="18" x14ac:dyDescent="0.2">
      <c r="A9" s="6"/>
    </row>
    <row r="10" spans="1:151" s="7" customFormat="1" x14ac:dyDescent="0.15">
      <c r="AO10" s="85"/>
      <c r="AP10" s="85"/>
      <c r="AS10" s="26"/>
      <c r="AV10" s="66"/>
      <c r="BB10" s="8" t="s">
        <v>116</v>
      </c>
      <c r="BC10" s="8" t="s">
        <v>16</v>
      </c>
      <c r="BD10" s="8" t="s">
        <v>118</v>
      </c>
      <c r="BE10" s="8" t="s">
        <v>132</v>
      </c>
      <c r="BF10" s="8" t="s">
        <v>120</v>
      </c>
      <c r="BG10" s="8" t="s">
        <v>121</v>
      </c>
      <c r="BH10" s="8" t="s">
        <v>122</v>
      </c>
      <c r="BI10" s="8" t="s">
        <v>123</v>
      </c>
      <c r="BJ10" s="8" t="s">
        <v>124</v>
      </c>
      <c r="BK10" s="8" t="s">
        <v>17</v>
      </c>
      <c r="BL10" s="8" t="s">
        <v>125</v>
      </c>
      <c r="BM10" s="8" t="s">
        <v>18</v>
      </c>
      <c r="CB10" s="8" t="s">
        <v>116</v>
      </c>
      <c r="CC10" s="8" t="s">
        <v>16</v>
      </c>
      <c r="CD10" s="8" t="s">
        <v>118</v>
      </c>
      <c r="CE10" s="8" t="s">
        <v>132</v>
      </c>
      <c r="CF10" s="8" t="s">
        <v>120</v>
      </c>
      <c r="CG10" s="8" t="s">
        <v>121</v>
      </c>
      <c r="CH10" s="8" t="s">
        <v>122</v>
      </c>
      <c r="CI10" s="8" t="s">
        <v>123</v>
      </c>
      <c r="CJ10" s="8" t="s">
        <v>124</v>
      </c>
      <c r="CK10" s="8" t="s">
        <v>17</v>
      </c>
      <c r="CL10" s="8" t="s">
        <v>125</v>
      </c>
    </row>
    <row r="11" spans="1:151" s="8" customFormat="1" ht="18" x14ac:dyDescent="0.2">
      <c r="A11" s="7"/>
      <c r="B11" s="7"/>
      <c r="C11" s="14" t="s">
        <v>25</v>
      </c>
      <c r="D11" s="15"/>
      <c r="G11" s="62" t="s">
        <v>114</v>
      </c>
      <c r="H11" s="22"/>
      <c r="I11" s="23"/>
      <c r="J11" s="27"/>
      <c r="K11" s="27"/>
      <c r="L11" s="27"/>
      <c r="M11" s="27"/>
      <c r="N11" s="27"/>
      <c r="O11" s="27"/>
      <c r="V11" s="62" t="s">
        <v>129</v>
      </c>
      <c r="W11" s="24"/>
      <c r="X11" s="25"/>
      <c r="Y11" s="25"/>
      <c r="Z11" s="27"/>
      <c r="AA11" s="27"/>
      <c r="AB11" s="27"/>
      <c r="AC11" s="27"/>
      <c r="AD11" s="27"/>
      <c r="AJ11" s="9"/>
      <c r="AO11" s="27"/>
      <c r="AP11" s="27"/>
      <c r="AS11" s="10"/>
      <c r="AV11" s="67"/>
      <c r="BB11" s="8">
        <v>60.08</v>
      </c>
      <c r="BC11" s="8">
        <v>79.900000000000006</v>
      </c>
      <c r="BD11" s="8">
        <f>0.5*101.96</f>
        <v>50.98</v>
      </c>
      <c r="BE11" s="8">
        <v>71.849999999999994</v>
      </c>
      <c r="BF11" s="8">
        <v>70.94</v>
      </c>
      <c r="BG11" s="8">
        <v>40.299999999999997</v>
      </c>
      <c r="BH11" s="8">
        <v>56.08</v>
      </c>
      <c r="BI11" s="8">
        <f>0.5*61.98</f>
        <v>30.99</v>
      </c>
      <c r="BJ11" s="8">
        <f>0.5*94.2</f>
        <v>47.1</v>
      </c>
      <c r="BK11" s="8">
        <f>15.9994+58.69</f>
        <v>74.689399999999992</v>
      </c>
      <c r="BL11" s="8">
        <f>(2*52+3*15.9994)/2</f>
        <v>75.999099999999999</v>
      </c>
      <c r="BM11" s="8">
        <f>5*15.9994+2*30.97</f>
        <v>141.93700000000001</v>
      </c>
      <c r="CB11" s="8">
        <v>60.08</v>
      </c>
      <c r="CC11" s="8">
        <v>79.900000000000006</v>
      </c>
      <c r="CD11" s="8">
        <v>101.96</v>
      </c>
      <c r="CE11" s="8">
        <v>71.849999999999994</v>
      </c>
      <c r="CF11" s="8">
        <v>70.94</v>
      </c>
      <c r="CG11" s="8">
        <v>40.299999999999997</v>
      </c>
      <c r="CH11" s="8">
        <v>56.08</v>
      </c>
      <c r="CI11" s="8">
        <v>61.98</v>
      </c>
      <c r="CJ11" s="8">
        <v>94.2</v>
      </c>
      <c r="CK11" s="8">
        <f>15.9994+58.69</f>
        <v>74.689399999999992</v>
      </c>
      <c r="CL11" s="8">
        <f>2*52+3*15.9994</f>
        <v>151.9982</v>
      </c>
      <c r="DH11" s="9"/>
      <c r="DI11" s="9"/>
      <c r="DJ11" s="9"/>
      <c r="DK11" s="9"/>
      <c r="DL11" s="9"/>
      <c r="DM11" s="9"/>
      <c r="DN11" s="9"/>
      <c r="DO11" s="9"/>
      <c r="DP11" s="9"/>
      <c r="DQ11" s="9"/>
      <c r="DR11" s="9"/>
      <c r="DS11" s="9"/>
      <c r="DT11" s="9"/>
      <c r="DU11" s="9"/>
      <c r="DV11" s="9"/>
      <c r="DW11" s="9"/>
      <c r="EK11" s="9"/>
      <c r="EL11" s="9"/>
      <c r="EM11" s="9"/>
      <c r="EN11" s="9"/>
    </row>
    <row r="12" spans="1:151" s="8" customFormat="1" ht="18" x14ac:dyDescent="0.2">
      <c r="C12" s="16" t="s">
        <v>82</v>
      </c>
      <c r="D12" s="17"/>
      <c r="G12" s="28"/>
      <c r="H12" s="27"/>
      <c r="I12" s="27"/>
      <c r="J12" s="27"/>
      <c r="K12" s="27"/>
      <c r="L12" s="27"/>
      <c r="M12" s="27"/>
      <c r="N12" s="27"/>
      <c r="O12" s="27"/>
      <c r="V12" s="28"/>
      <c r="W12" s="27"/>
      <c r="X12" s="27"/>
      <c r="Y12" s="27"/>
      <c r="Z12" s="27"/>
      <c r="AA12" s="27"/>
      <c r="AB12" s="27"/>
      <c r="AC12" s="27"/>
      <c r="AD12" s="27"/>
      <c r="AJ12" s="57" t="s">
        <v>3</v>
      </c>
      <c r="AK12" s="39"/>
      <c r="AL12" s="39"/>
      <c r="AM12" s="39"/>
      <c r="AN12" s="39"/>
      <c r="AO12" s="87" t="s">
        <v>144</v>
      </c>
      <c r="AP12" s="88"/>
      <c r="AR12" s="57" t="s">
        <v>14</v>
      </c>
      <c r="AS12" s="56"/>
      <c r="AT12" s="39"/>
      <c r="AV12" s="68" t="s">
        <v>85</v>
      </c>
      <c r="BB12"/>
      <c r="BC12"/>
      <c r="BD12"/>
      <c r="BE12"/>
      <c r="BF12"/>
      <c r="BG12"/>
      <c r="BH12"/>
      <c r="BI12"/>
      <c r="BJ12"/>
      <c r="BK12"/>
      <c r="BL12"/>
      <c r="BM12"/>
      <c r="DH12" s="9"/>
      <c r="DI12" s="9"/>
      <c r="DJ12" s="9"/>
      <c r="DK12" s="9"/>
      <c r="DL12" s="9"/>
      <c r="DM12" s="9"/>
      <c r="DN12" s="9"/>
      <c r="DO12" s="9"/>
      <c r="DP12" s="9"/>
      <c r="DQ12" s="9"/>
      <c r="DR12" s="9"/>
      <c r="DS12" s="9"/>
      <c r="DT12" s="9"/>
      <c r="DU12" s="9"/>
      <c r="DV12" s="9"/>
      <c r="DW12" s="9"/>
      <c r="EK12" s="9"/>
      <c r="EL12" s="9"/>
      <c r="EM12" s="9"/>
      <c r="EN12" s="9"/>
    </row>
    <row r="13" spans="1:151" s="8" customFormat="1" ht="18" x14ac:dyDescent="0.2">
      <c r="A13" s="4" t="s">
        <v>22</v>
      </c>
      <c r="B13" s="11"/>
      <c r="C13" s="18" t="s">
        <v>130</v>
      </c>
      <c r="D13" s="19" t="s">
        <v>26</v>
      </c>
      <c r="G13" s="28"/>
      <c r="H13" s="27"/>
      <c r="I13" s="27"/>
      <c r="J13" s="27"/>
      <c r="K13" s="27"/>
      <c r="L13" s="27"/>
      <c r="M13" s="27"/>
      <c r="N13" s="27"/>
      <c r="O13" s="27"/>
      <c r="V13" s="28"/>
      <c r="W13" s="27"/>
      <c r="X13" s="27"/>
      <c r="Y13" s="27"/>
      <c r="Z13" s="27"/>
      <c r="AA13" s="27"/>
      <c r="AB13" s="27"/>
      <c r="AC13" s="27"/>
      <c r="AD13" s="27"/>
      <c r="AJ13" s="39" t="s">
        <v>4</v>
      </c>
      <c r="AK13" s="39"/>
      <c r="AL13" s="39"/>
      <c r="AM13" s="86" t="s">
        <v>147</v>
      </c>
      <c r="AN13" s="86" t="s">
        <v>147</v>
      </c>
      <c r="AO13" s="88"/>
      <c r="AP13" s="88"/>
      <c r="AR13" s="39" t="s">
        <v>4</v>
      </c>
      <c r="AS13" s="39"/>
      <c r="AT13" s="39"/>
      <c r="AV13" s="68" t="s">
        <v>84</v>
      </c>
      <c r="BB13" s="8" t="s">
        <v>43</v>
      </c>
      <c r="BO13" s="42" t="s">
        <v>44</v>
      </c>
      <c r="BP13" s="43"/>
      <c r="BQ13" s="43"/>
      <c r="BR13" s="43"/>
      <c r="BS13" s="43"/>
      <c r="BT13" s="43"/>
      <c r="BU13" s="43"/>
      <c r="BV13" s="43"/>
      <c r="BW13" s="43"/>
      <c r="BX13" s="43"/>
      <c r="BY13" s="43"/>
      <c r="BZ13" s="53"/>
      <c r="CB13" s="8" t="s">
        <v>45</v>
      </c>
      <c r="CQ13" s="8" t="s">
        <v>46</v>
      </c>
      <c r="DD13" s="42" t="s">
        <v>47</v>
      </c>
      <c r="DE13" s="43"/>
      <c r="DF13" s="43"/>
      <c r="DG13" s="43"/>
      <c r="DH13" s="44"/>
      <c r="DI13" s="44"/>
      <c r="DJ13" s="44"/>
      <c r="DK13" s="44"/>
      <c r="DL13" s="44"/>
      <c r="DM13" s="44"/>
      <c r="DN13" s="44"/>
      <c r="DO13" s="44"/>
      <c r="DP13" s="44"/>
      <c r="DQ13" s="45"/>
      <c r="DR13" s="9"/>
      <c r="DS13" s="9"/>
      <c r="DT13" s="9"/>
      <c r="DU13" s="9"/>
      <c r="DV13" s="9"/>
      <c r="DW13" s="9"/>
      <c r="EK13" s="9"/>
      <c r="EL13" s="9"/>
      <c r="EM13" s="9"/>
      <c r="EN13" s="9"/>
      <c r="EQ13" s="8" t="s">
        <v>48</v>
      </c>
      <c r="ES13" s="8" t="s">
        <v>48</v>
      </c>
    </row>
    <row r="14" spans="1:151" s="8" customFormat="1" x14ac:dyDescent="0.15">
      <c r="A14" s="12"/>
      <c r="B14" s="13"/>
      <c r="C14" s="13" t="s">
        <v>27</v>
      </c>
      <c r="D14" s="20"/>
      <c r="E14" s="29"/>
      <c r="F14" s="29" t="s">
        <v>6</v>
      </c>
      <c r="G14" s="32" t="s">
        <v>115</v>
      </c>
      <c r="H14" s="33"/>
      <c r="I14" s="33"/>
      <c r="J14" s="33"/>
      <c r="K14" s="33"/>
      <c r="L14" s="33"/>
      <c r="M14" s="33"/>
      <c r="N14" s="33"/>
      <c r="O14" s="33"/>
      <c r="P14" s="33"/>
      <c r="Q14" s="33"/>
      <c r="R14" s="33"/>
      <c r="S14" s="33"/>
      <c r="T14" s="8" t="s">
        <v>128</v>
      </c>
      <c r="V14" s="32" t="s">
        <v>7</v>
      </c>
      <c r="W14" s="34"/>
      <c r="X14" s="34"/>
      <c r="Y14" s="34"/>
      <c r="Z14" s="34"/>
      <c r="AA14" s="34"/>
      <c r="AB14" s="34"/>
      <c r="AC14" s="34"/>
      <c r="AD14" s="34"/>
      <c r="AE14" s="33"/>
      <c r="AF14" s="33"/>
      <c r="AG14" s="33"/>
      <c r="AH14" s="35"/>
      <c r="AI14" s="35"/>
      <c r="AJ14" s="58" t="s">
        <v>56</v>
      </c>
      <c r="AK14" s="58" t="s">
        <v>8</v>
      </c>
      <c r="AL14" s="58" t="s">
        <v>11</v>
      </c>
      <c r="AM14" s="86" t="s">
        <v>150</v>
      </c>
      <c r="AN14" s="86" t="s">
        <v>148</v>
      </c>
      <c r="AO14" s="89" t="s">
        <v>145</v>
      </c>
      <c r="AP14" s="89" t="s">
        <v>146</v>
      </c>
      <c r="AQ14" s="59"/>
      <c r="AR14" s="58" t="s">
        <v>12</v>
      </c>
      <c r="AS14" s="58" t="s">
        <v>13</v>
      </c>
      <c r="AT14" s="60" t="s">
        <v>5</v>
      </c>
      <c r="AU14" s="37"/>
      <c r="AV14" s="69"/>
      <c r="AW14" s="35"/>
      <c r="AX14" s="8" t="s">
        <v>50</v>
      </c>
      <c r="AY14" s="8" t="s">
        <v>50</v>
      </c>
      <c r="BB14" s="8" t="s">
        <v>49</v>
      </c>
      <c r="BO14" s="46" t="s">
        <v>49</v>
      </c>
      <c r="BP14" s="47"/>
      <c r="BQ14" s="47"/>
      <c r="BR14" s="47"/>
      <c r="BS14" s="47"/>
      <c r="BT14" s="47"/>
      <c r="BU14" s="47"/>
      <c r="BV14" s="47"/>
      <c r="BW14" s="47"/>
      <c r="BX14" s="47"/>
      <c r="BY14" s="47"/>
      <c r="BZ14" s="49"/>
      <c r="CB14" s="8" t="s">
        <v>51</v>
      </c>
      <c r="CQ14" s="8" t="s">
        <v>51</v>
      </c>
      <c r="DD14" s="46" t="s">
        <v>51</v>
      </c>
      <c r="DE14" s="47"/>
      <c r="DF14" s="47"/>
      <c r="DG14" s="47"/>
      <c r="DH14" s="47"/>
      <c r="DI14" s="47"/>
      <c r="DJ14" s="47"/>
      <c r="DK14" s="47"/>
      <c r="DL14" s="47"/>
      <c r="DM14" s="48"/>
      <c r="DN14" s="47"/>
      <c r="DO14" s="47"/>
      <c r="DP14" s="47"/>
      <c r="DQ14" s="49"/>
      <c r="DR14" s="8" t="s">
        <v>52</v>
      </c>
      <c r="DT14" s="42" t="s">
        <v>53</v>
      </c>
      <c r="DU14" s="43"/>
      <c r="DV14" s="43"/>
      <c r="DW14" s="43"/>
      <c r="DX14" s="43"/>
      <c r="DY14" s="53"/>
      <c r="DZ14" s="54" t="s">
        <v>9</v>
      </c>
      <c r="EE14" s="8" t="s">
        <v>54</v>
      </c>
      <c r="EH14" s="8" t="s">
        <v>55</v>
      </c>
      <c r="EL14" s="8" t="s">
        <v>57</v>
      </c>
      <c r="EO14" s="8" t="s">
        <v>58</v>
      </c>
      <c r="EQ14" s="8" t="s">
        <v>59</v>
      </c>
      <c r="ES14" s="8" t="s">
        <v>59</v>
      </c>
      <c r="EU14" s="8" t="s">
        <v>60</v>
      </c>
    </row>
    <row r="15" spans="1:151" s="29" customFormat="1" x14ac:dyDescent="0.15">
      <c r="A15" s="12" t="s">
        <v>23</v>
      </c>
      <c r="B15" s="13" t="s">
        <v>24</v>
      </c>
      <c r="C15" s="92" t="s">
        <v>64</v>
      </c>
      <c r="D15" s="20" t="s">
        <v>62</v>
      </c>
      <c r="F15" s="29" t="s">
        <v>61</v>
      </c>
      <c r="G15" s="21" t="s">
        <v>116</v>
      </c>
      <c r="H15" s="21" t="s">
        <v>117</v>
      </c>
      <c r="I15" s="21" t="s">
        <v>118</v>
      </c>
      <c r="J15" s="21" t="s">
        <v>119</v>
      </c>
      <c r="K15" s="21" t="s">
        <v>120</v>
      </c>
      <c r="L15" s="21" t="s">
        <v>121</v>
      </c>
      <c r="M15" s="21" t="s">
        <v>122</v>
      </c>
      <c r="N15" s="21" t="s">
        <v>123</v>
      </c>
      <c r="O15" s="21" t="s">
        <v>124</v>
      </c>
      <c r="P15" s="21" t="s">
        <v>17</v>
      </c>
      <c r="Q15" s="21" t="s">
        <v>125</v>
      </c>
      <c r="R15" s="21" t="s">
        <v>18</v>
      </c>
      <c r="S15" s="21" t="s">
        <v>126</v>
      </c>
      <c r="T15" s="29" t="s">
        <v>127</v>
      </c>
      <c r="V15" s="21" t="s">
        <v>116</v>
      </c>
      <c r="W15" s="21" t="s">
        <v>117</v>
      </c>
      <c r="X15" s="21" t="s">
        <v>118</v>
      </c>
      <c r="Y15" s="21" t="s">
        <v>119</v>
      </c>
      <c r="Z15" s="21" t="s">
        <v>120</v>
      </c>
      <c r="AA15" s="21" t="s">
        <v>121</v>
      </c>
      <c r="AB15" s="21" t="s">
        <v>122</v>
      </c>
      <c r="AC15" s="21" t="s">
        <v>123</v>
      </c>
      <c r="AD15" s="21" t="s">
        <v>124</v>
      </c>
      <c r="AE15" s="21" t="s">
        <v>17</v>
      </c>
      <c r="AF15" s="21" t="s">
        <v>125</v>
      </c>
      <c r="AG15" s="21" t="s">
        <v>18</v>
      </c>
      <c r="AH15" s="36" t="s">
        <v>127</v>
      </c>
      <c r="AI15" s="36"/>
      <c r="AJ15" s="61" t="s">
        <v>106</v>
      </c>
      <c r="AK15" s="61" t="s">
        <v>106</v>
      </c>
      <c r="AL15" s="61" t="s">
        <v>106</v>
      </c>
      <c r="AM15" s="94" t="s">
        <v>106</v>
      </c>
      <c r="AN15" s="94" t="s">
        <v>149</v>
      </c>
      <c r="AO15" s="90" t="s">
        <v>83</v>
      </c>
      <c r="AP15" s="90" t="s">
        <v>83</v>
      </c>
      <c r="AQ15"/>
      <c r="AR15" s="61" t="s">
        <v>83</v>
      </c>
      <c r="AS15" s="61" t="s">
        <v>83</v>
      </c>
      <c r="AT15" s="61" t="s">
        <v>83</v>
      </c>
      <c r="AU15" s="63"/>
      <c r="AV15" s="70" t="s">
        <v>67</v>
      </c>
      <c r="AW15" s="36"/>
      <c r="AX15" s="29" t="s">
        <v>65</v>
      </c>
      <c r="AY15" s="29" t="s">
        <v>66</v>
      </c>
      <c r="AZ15" s="29" t="s">
        <v>86</v>
      </c>
      <c r="BA15" s="29" t="s">
        <v>87</v>
      </c>
      <c r="BB15" s="29" t="s">
        <v>116</v>
      </c>
      <c r="BC15" s="29" t="s">
        <v>117</v>
      </c>
      <c r="BD15" s="29" t="s">
        <v>131</v>
      </c>
      <c r="BE15" s="29" t="s">
        <v>132</v>
      </c>
      <c r="BF15" s="29" t="s">
        <v>120</v>
      </c>
      <c r="BG15" s="29" t="s">
        <v>121</v>
      </c>
      <c r="BH15" s="29" t="s">
        <v>122</v>
      </c>
      <c r="BI15" s="29" t="s">
        <v>133</v>
      </c>
      <c r="BJ15" s="29" t="s">
        <v>134</v>
      </c>
      <c r="BK15" s="29" t="s">
        <v>68</v>
      </c>
      <c r="BL15" s="29" t="s">
        <v>135</v>
      </c>
      <c r="BM15" s="29" t="s">
        <v>136</v>
      </c>
      <c r="BN15" s="29" t="s">
        <v>52</v>
      </c>
      <c r="BO15" s="50" t="s">
        <v>116</v>
      </c>
      <c r="BP15" s="51" t="s">
        <v>117</v>
      </c>
      <c r="BQ15" s="51" t="s">
        <v>131</v>
      </c>
      <c r="BR15" s="51" t="s">
        <v>132</v>
      </c>
      <c r="BS15" s="51" t="s">
        <v>120</v>
      </c>
      <c r="BT15" s="51" t="s">
        <v>121</v>
      </c>
      <c r="BU15" s="51" t="s">
        <v>122</v>
      </c>
      <c r="BV15" s="51" t="s">
        <v>133</v>
      </c>
      <c r="BW15" s="51" t="s">
        <v>134</v>
      </c>
      <c r="BX15" s="51" t="s">
        <v>68</v>
      </c>
      <c r="BY15" s="51" t="s">
        <v>135</v>
      </c>
      <c r="BZ15" s="52" t="s">
        <v>136</v>
      </c>
      <c r="CB15" s="29" t="s">
        <v>116</v>
      </c>
      <c r="CC15" s="29" t="s">
        <v>117</v>
      </c>
      <c r="CD15" s="29" t="s">
        <v>131</v>
      </c>
      <c r="CE15" s="29" t="s">
        <v>132</v>
      </c>
      <c r="CF15" s="29" t="s">
        <v>120</v>
      </c>
      <c r="CG15" s="29" t="s">
        <v>121</v>
      </c>
      <c r="CH15" s="29" t="s">
        <v>122</v>
      </c>
      <c r="CI15" s="29" t="s">
        <v>133</v>
      </c>
      <c r="CJ15" s="29" t="s">
        <v>134</v>
      </c>
      <c r="CK15" s="29" t="s">
        <v>68</v>
      </c>
      <c r="CL15" s="29" t="s">
        <v>135</v>
      </c>
      <c r="CM15" s="29" t="s">
        <v>69</v>
      </c>
      <c r="CO15" s="29" t="s">
        <v>70</v>
      </c>
      <c r="CQ15" s="29" t="s">
        <v>116</v>
      </c>
      <c r="CR15" s="29" t="s">
        <v>117</v>
      </c>
      <c r="CS15" s="29" t="s">
        <v>131</v>
      </c>
      <c r="CT15" s="29" t="s">
        <v>132</v>
      </c>
      <c r="CU15" s="29" t="s">
        <v>120</v>
      </c>
      <c r="CV15" s="29" t="s">
        <v>121</v>
      </c>
      <c r="CW15" s="29" t="s">
        <v>122</v>
      </c>
      <c r="CX15" s="29" t="s">
        <v>133</v>
      </c>
      <c r="CY15" s="29" t="s">
        <v>134</v>
      </c>
      <c r="CZ15" s="29" t="s">
        <v>68</v>
      </c>
      <c r="DA15" s="29" t="s">
        <v>135</v>
      </c>
      <c r="DD15" s="50" t="s">
        <v>137</v>
      </c>
      <c r="DE15" s="51" t="s">
        <v>138</v>
      </c>
      <c r="DF15" s="51" t="s">
        <v>139</v>
      </c>
      <c r="DG15" s="51" t="s">
        <v>71</v>
      </c>
      <c r="DH15" s="51" t="s">
        <v>72</v>
      </c>
      <c r="DI15" s="51" t="s">
        <v>73</v>
      </c>
      <c r="DJ15" s="51" t="s">
        <v>41</v>
      </c>
      <c r="DK15" s="51" t="s">
        <v>140</v>
      </c>
      <c r="DL15" s="51" t="s">
        <v>141</v>
      </c>
      <c r="DM15" s="51" t="s">
        <v>142</v>
      </c>
      <c r="DN15" s="51" t="s">
        <v>143</v>
      </c>
      <c r="DO15" s="51" t="s">
        <v>0</v>
      </c>
      <c r="DP15" s="51" t="s">
        <v>1</v>
      </c>
      <c r="DQ15" s="52" t="s">
        <v>2</v>
      </c>
      <c r="DR15" s="29" t="s">
        <v>74</v>
      </c>
      <c r="DT15" s="50" t="s">
        <v>75</v>
      </c>
      <c r="DU15" s="51" t="s">
        <v>76</v>
      </c>
      <c r="DV15" s="51" t="s">
        <v>77</v>
      </c>
      <c r="DW15" s="51" t="s">
        <v>78</v>
      </c>
      <c r="DX15" s="51" t="s">
        <v>79</v>
      </c>
      <c r="DY15" s="52" t="s">
        <v>80</v>
      </c>
      <c r="DZ15" s="55" t="s">
        <v>10</v>
      </c>
      <c r="EA15" s="29" t="s">
        <v>81</v>
      </c>
      <c r="EB15" s="29" t="s">
        <v>98</v>
      </c>
      <c r="EE15" s="29" t="s">
        <v>99</v>
      </c>
      <c r="EF15" s="29" t="s">
        <v>100</v>
      </c>
      <c r="EG15" s="29" t="s">
        <v>101</v>
      </c>
      <c r="EH15" s="29" t="s">
        <v>102</v>
      </c>
      <c r="EI15" s="29" t="s">
        <v>103</v>
      </c>
      <c r="EJ15" s="29" t="s">
        <v>104</v>
      </c>
      <c r="EK15" s="29" t="s">
        <v>105</v>
      </c>
      <c r="EL15" s="29" t="s">
        <v>106</v>
      </c>
      <c r="EO15" s="29" t="s">
        <v>78</v>
      </c>
      <c r="EQ15" s="29" t="s">
        <v>63</v>
      </c>
      <c r="ES15" s="29" t="s">
        <v>63</v>
      </c>
      <c r="ET15" s="29" t="s">
        <v>107</v>
      </c>
      <c r="EU15" s="29" t="s">
        <v>108</v>
      </c>
    </row>
    <row r="16" spans="1:151" s="29" customFormat="1" x14ac:dyDescent="0.15">
      <c r="A16" s="29" t="s">
        <v>109</v>
      </c>
      <c r="B16" s="29" t="s">
        <v>110</v>
      </c>
      <c r="C16" s="93">
        <v>1</v>
      </c>
      <c r="D16" s="37">
        <v>1160</v>
      </c>
      <c r="F16" s="38">
        <v>4066</v>
      </c>
      <c r="G16" s="30">
        <v>49.6</v>
      </c>
      <c r="H16" s="30">
        <v>3.79</v>
      </c>
      <c r="I16" s="30">
        <v>15.8</v>
      </c>
      <c r="J16" s="30">
        <v>13</v>
      </c>
      <c r="K16" s="30">
        <v>0.14000000000000001</v>
      </c>
      <c r="L16" s="30">
        <v>4.26</v>
      </c>
      <c r="M16" s="30">
        <v>6.59</v>
      </c>
      <c r="N16" s="30">
        <v>3.65</v>
      </c>
      <c r="O16" s="30">
        <v>1.04</v>
      </c>
      <c r="P16" s="30">
        <v>0</v>
      </c>
      <c r="Q16" s="30">
        <v>0</v>
      </c>
      <c r="R16" s="30">
        <v>0.63</v>
      </c>
      <c r="S16" s="30">
        <v>0</v>
      </c>
      <c r="T16" s="29">
        <f>SUM(G16:R16)</f>
        <v>98.500000000000014</v>
      </c>
      <c r="V16" s="30">
        <v>51.3</v>
      </c>
      <c r="W16" s="30">
        <v>0.93</v>
      </c>
      <c r="X16" s="30">
        <v>5.28</v>
      </c>
      <c r="Y16" s="30">
        <v>18.600000000000001</v>
      </c>
      <c r="Z16" s="30">
        <v>0.24</v>
      </c>
      <c r="AA16" s="30">
        <v>22</v>
      </c>
      <c r="AB16" s="30">
        <v>2.21</v>
      </c>
      <c r="AC16" s="30">
        <v>0.28999999999999998</v>
      </c>
      <c r="AD16" s="30">
        <v>0</v>
      </c>
      <c r="AE16" s="30">
        <v>0</v>
      </c>
      <c r="AF16" s="30">
        <v>0.05</v>
      </c>
      <c r="AG16" s="30">
        <v>0</v>
      </c>
      <c r="AH16" s="29">
        <f>SUM(V16:AG16)</f>
        <v>100.89999999999999</v>
      </c>
      <c r="AJ16" s="40">
        <f>EK16-273.15</f>
        <v>1194.3974999311304</v>
      </c>
      <c r="AK16" s="41">
        <f ca="1">10^4/(4.07-0.329*AN16+0.12*S16+0.567*EA16-3.06*BT16-6.17*BW16+1.89*BT16/(BT16+BR16)+2.57*DJ16)</f>
        <v>1201.9412240478484</v>
      </c>
      <c r="AL16" s="40">
        <f ca="1">(5573.8+587.9*AN16-61*AN16^2)/(5.3-0.633*LN(ET16)-3.97*EF16+0.06*EG16+24.7*BU16^2+0.081*S16+0.156*AN16)</f>
        <v>1177.9525853663515</v>
      </c>
      <c r="AM16" s="95">
        <f ca="1">AK16</f>
        <v>1201.9412240478484</v>
      </c>
      <c r="AN16" s="95">
        <f ca="1">AS16</f>
        <v>1.1764609070493368</v>
      </c>
      <c r="AO16" s="91">
        <f>(-8.51+0.856*L16-1.14*X16+45.474*X16/I16+1.067*(N16+O16))/10</f>
        <v>0.93179646835443042</v>
      </c>
      <c r="AP16" s="91">
        <f>(-0.892+31.81*X16/I16)/10</f>
        <v>0.97381772151898738</v>
      </c>
      <c r="AR16" s="40">
        <f ca="1">(-13.97+0.0129*AM16-19.64*BO16+47.49*BT16+6.99*DJ16+37.37*DW16+0.748*S16+79.67*(BV16+BW16)+0.001416*AM16*LN(DT16/(BO16^2*BQ16*BV16)))/10</f>
        <v>1.1701228735593154</v>
      </c>
      <c r="AS16" s="40">
        <f ca="1">(1.788+0.0375*AM16+0.001295*AM16*EB16-33.42*BQ16+9.795*BT16/(BT16+BR16)-26.2*DD16+14.21*DJ16+36.08*(BV16+BW16)+0.784*S16)/10</f>
        <v>1.1764603593865428</v>
      </c>
      <c r="AT16" s="40">
        <f ca="1">(2064+0.321*AM16-343.4*LN(AM16)+31.52*DF16-12.28*DM16-290*DQ16-177.2*(DF16-0.1715)^2-372*(DF16-0.1715)*(DM16-0.0736)+1.54*LN(DQ16))/10</f>
        <v>0.93281507026747756</v>
      </c>
      <c r="AU16" s="64"/>
      <c r="AV16" s="71">
        <f t="shared" ref="AV16:AV29" si="0">AX16/AY16</f>
        <v>0.27704895104895105</v>
      </c>
      <c r="AX16" s="29">
        <f t="shared" ref="AX16:AX29" si="1">(Y16/71.85)/(AA16/40.3)</f>
        <v>0.47420762953122036</v>
      </c>
      <c r="AY16" s="29">
        <f t="shared" ref="AY16:AY29" si="2">(J16/71.85)/(L16/40.3)</f>
        <v>1.7116384225090746</v>
      </c>
      <c r="AZ16" s="29">
        <f>100*(BG16/(BG16+BE16))</f>
        <v>36.878073112517036</v>
      </c>
      <c r="BA16" s="29">
        <f>100*(CG16/(CG16+CE16))</f>
        <v>67.833050105566713</v>
      </c>
      <c r="BB16" s="29">
        <f t="shared" ref="BB16:BB29" si="3">G16/BB$11</f>
        <v>0.82556591211717711</v>
      </c>
      <c r="BC16" s="29">
        <f t="shared" ref="BC16:BC29" si="4">H16/BC$11</f>
        <v>4.7434292866082597E-2</v>
      </c>
      <c r="BD16" s="29">
        <f t="shared" ref="BD16:BD29" si="5">I16/BD$11</f>
        <v>0.30992546096508439</v>
      </c>
      <c r="BE16" s="29">
        <f t="shared" ref="BE16:BE29" si="6">J16/BE$11</f>
        <v>0.18093249826026445</v>
      </c>
      <c r="BF16" s="29">
        <f t="shared" ref="BF16:BF29" si="7">K16/BF$11</f>
        <v>1.9734987313222443E-3</v>
      </c>
      <c r="BG16" s="29">
        <f t="shared" ref="BG16:BG29" si="8">L16/BG$11</f>
        <v>0.10570719602977667</v>
      </c>
      <c r="BH16" s="29">
        <f t="shared" ref="BH16:BH29" si="9">M16/BH$11</f>
        <v>0.11751069900142654</v>
      </c>
      <c r="BI16" s="29">
        <f t="shared" ref="BI16:BI29" si="10">N16/BI$11</f>
        <v>0.11777992900935787</v>
      </c>
      <c r="BJ16" s="29">
        <f t="shared" ref="BJ16:BJ29" si="11">O16/BJ$11</f>
        <v>2.2080679405520168E-2</v>
      </c>
      <c r="BK16" s="29">
        <f t="shared" ref="BK16:BK29" si="12">P16/BK$11</f>
        <v>0</v>
      </c>
      <c r="BL16" s="29">
        <f t="shared" ref="BL16:BL29" si="13">Q16/BL$11</f>
        <v>0</v>
      </c>
      <c r="BM16" s="29">
        <f>2*R16/BM$11</f>
        <v>8.8771779028724001E-3</v>
      </c>
      <c r="BN16" s="29">
        <f>SUM(BB16:BM16)</f>
        <v>1.7377873442888845</v>
      </c>
      <c r="BO16" s="29">
        <f t="shared" ref="BO16:BZ16" si="14">BB16/$BN16</f>
        <v>0.4750672830196061</v>
      </c>
      <c r="BP16" s="29">
        <f t="shared" si="14"/>
        <v>2.7295798316158797E-2</v>
      </c>
      <c r="BQ16" s="29">
        <f t="shared" si="14"/>
        <v>0.17834487170345242</v>
      </c>
      <c r="BR16" s="29">
        <f t="shared" si="14"/>
        <v>0.10411659335354602</v>
      </c>
      <c r="BS16" s="29">
        <f t="shared" si="14"/>
        <v>1.1356387982729926E-3</v>
      </c>
      <c r="BT16" s="29">
        <f t="shared" si="14"/>
        <v>6.0828614258917189E-2</v>
      </c>
      <c r="BU16" s="29">
        <f t="shared" si="14"/>
        <v>6.7620873973801898E-2</v>
      </c>
      <c r="BV16" s="29">
        <f t="shared" si="14"/>
        <v>6.7775800874850023E-2</v>
      </c>
      <c r="BW16" s="29">
        <f t="shared" si="14"/>
        <v>1.2706203367222557E-2</v>
      </c>
      <c r="BX16" s="29">
        <f t="shared" si="14"/>
        <v>0</v>
      </c>
      <c r="BY16" s="29">
        <f t="shared" si="14"/>
        <v>0</v>
      </c>
      <c r="BZ16" s="29">
        <f t="shared" si="14"/>
        <v>5.1083223341720253E-3</v>
      </c>
      <c r="CA16" s="29">
        <f>SUM(BO16:BZ16)</f>
        <v>0.99999999999999989</v>
      </c>
      <c r="CB16" s="29">
        <f t="shared" ref="CB16:CB29" si="15">V16/CB$11</f>
        <v>0.85386151797603194</v>
      </c>
      <c r="CC16" s="29">
        <f t="shared" ref="CC16:CC29" si="16">W16/CC$11</f>
        <v>1.1639549436795994E-2</v>
      </c>
      <c r="CD16" s="29">
        <f t="shared" ref="CD16:CD29" si="17">X16/CD$11</f>
        <v>5.1785013730874858E-2</v>
      </c>
      <c r="CE16" s="29">
        <f t="shared" ref="CE16:CE29" si="18">Y16/CE$11</f>
        <v>0.25887265135699378</v>
      </c>
      <c r="CF16" s="29">
        <f t="shared" ref="CF16:CF29" si="19">Z16/CF$11</f>
        <v>3.3831406822667043E-3</v>
      </c>
      <c r="CG16" s="29">
        <f t="shared" ref="CG16:CG29" si="20">AA16/CG$11</f>
        <v>0.54590570719602982</v>
      </c>
      <c r="CH16" s="29">
        <f t="shared" ref="CH16:CH29" si="21">AB16/CH$11</f>
        <v>3.9407988587731813E-2</v>
      </c>
      <c r="CI16" s="29">
        <f t="shared" ref="CI16:CI29" si="22">AC16/CI$11</f>
        <v>4.67892868667312E-3</v>
      </c>
      <c r="CJ16" s="29">
        <f t="shared" ref="CJ16:CJ29" si="23">AD16/CJ$11</f>
        <v>0</v>
      </c>
      <c r="CK16" s="29">
        <f t="shared" ref="CK16:CK29" si="24">AE16/CK$11</f>
        <v>0</v>
      </c>
      <c r="CL16" s="29">
        <f t="shared" ref="CL16:CL29" si="25">AF16/CL$11</f>
        <v>3.2895126389654618E-4</v>
      </c>
      <c r="CM16" s="29">
        <f t="shared" ref="CM16:CM29" si="26">SUM(CB16:CL16)</f>
        <v>1.7698634489172946</v>
      </c>
      <c r="CO16" s="29">
        <f t="shared" ref="CO16:CO29" si="27">CG16/(CG16+CE16+CF16+CH16+CI16+CL16)</f>
        <v>0.64030049099426611</v>
      </c>
      <c r="CQ16" s="29">
        <f t="shared" ref="CQ16:CR18" si="28">2*CB16</f>
        <v>1.7077230359520639</v>
      </c>
      <c r="CR16" s="29">
        <f t="shared" si="28"/>
        <v>2.3279098873591988E-2</v>
      </c>
      <c r="CS16" s="29">
        <f t="shared" ref="CS16:CS29" si="29">3*CD16</f>
        <v>0.15535504119262458</v>
      </c>
      <c r="CT16" s="29">
        <f t="shared" ref="CT16:CZ18" si="30">CE16</f>
        <v>0.25887265135699378</v>
      </c>
      <c r="CU16" s="29">
        <f t="shared" si="30"/>
        <v>3.3831406822667043E-3</v>
      </c>
      <c r="CV16" s="29">
        <f t="shared" si="30"/>
        <v>0.54590570719602982</v>
      </c>
      <c r="CW16" s="29">
        <f t="shared" si="30"/>
        <v>3.9407988587731813E-2</v>
      </c>
      <c r="CX16" s="29">
        <f t="shared" si="30"/>
        <v>4.67892868667312E-3</v>
      </c>
      <c r="CY16" s="29">
        <f t="shared" si="30"/>
        <v>0</v>
      </c>
      <c r="CZ16" s="29">
        <f t="shared" si="30"/>
        <v>0</v>
      </c>
      <c r="DA16" s="29">
        <f t="shared" ref="DA16:DA29" si="31">3*CL16</f>
        <v>9.8685379168963853E-4</v>
      </c>
      <c r="DB16" s="29">
        <f t="shared" ref="DB16:DB29" si="32">SUM(CQ16:DA16)</f>
        <v>2.7395924463196653</v>
      </c>
      <c r="DC16" s="29">
        <f t="shared" ref="DC16:DC29" si="33">6/DB16</f>
        <v>2.1901067832408159</v>
      </c>
      <c r="DD16" s="29">
        <f t="shared" ref="DD16:DD29" si="34">CB16*$DC16</f>
        <v>1.8700479024676073</v>
      </c>
      <c r="DE16" s="29">
        <f t="shared" ref="DE16:DE29" si="35">CC16*$DC16</f>
        <v>2.5491856175393724E-2</v>
      </c>
      <c r="DF16" s="29">
        <f t="shared" ref="DF16:DF29" si="36">CD16*$DC16*2</f>
        <v>0.22682941968441564</v>
      </c>
      <c r="DG16" s="29">
        <f t="shared" ref="DG16:DG29" si="37">DE16+DD16</f>
        <v>1.8955397586430009</v>
      </c>
      <c r="DH16" s="29">
        <f t="shared" ref="DH16:DH29" si="38">IF(DD16&lt;2,2-DD16,0)</f>
        <v>0.12995209753239267</v>
      </c>
      <c r="DI16" s="29">
        <f t="shared" ref="DI16:DI29" si="39">DF16-DH16</f>
        <v>9.6877322152022965E-2</v>
      </c>
      <c r="DJ16" s="29">
        <f t="shared" ref="DJ16:DJ29" si="40">CE16*$DC16</f>
        <v>0.56695874973248683</v>
      </c>
      <c r="DK16" s="29">
        <f t="shared" ref="DK16:DK29" si="41">CF16*$DC16</f>
        <v>7.4094393568902711E-3</v>
      </c>
      <c r="DL16" s="29">
        <f t="shared" ref="DL16:DL29" si="42">CG16*$DC16</f>
        <v>1.1955917923398995</v>
      </c>
      <c r="DM16" s="29">
        <f t="shared" ref="DM16:DM29" si="43">CH16*$DC16</f>
        <v>8.6307703119868101E-2</v>
      </c>
      <c r="DN16" s="29">
        <f t="shared" ref="DN16:DN29" si="44">CI16*$DC16*2</f>
        <v>2.0494706909965684E-2</v>
      </c>
      <c r="DO16" s="29">
        <f t="shared" ref="DO16:DO29" si="45">CJ16*$DC16*2</f>
        <v>0</v>
      </c>
      <c r="DP16" s="29">
        <f t="shared" ref="DP16:DP29" si="46">CK16*$DC16</f>
        <v>0</v>
      </c>
      <c r="DQ16" s="29">
        <f t="shared" ref="DQ16:DQ29" si="47">CL16*$DC16*2</f>
        <v>1.4408767888309309E-3</v>
      </c>
      <c r="DR16" s="31">
        <f t="shared" ref="DR16:DR29" si="48">DQ16+DP16+DO16+DN16+DM16+DL16+DK16+DJ16+DF16+DE16+DD16</f>
        <v>4.000572446575358</v>
      </c>
      <c r="DT16" s="29">
        <f t="shared" ref="DT16:DT29" si="49">DN16</f>
        <v>2.0494706909965684E-2</v>
      </c>
      <c r="DU16" s="29">
        <f t="shared" ref="DU16:DU29" si="50">DE16</f>
        <v>2.5491856175393724E-2</v>
      </c>
      <c r="DV16" s="29">
        <f t="shared" ref="DV16:DV29" si="51">DQ16</f>
        <v>1.4408767888309309E-3</v>
      </c>
      <c r="DW16" s="31">
        <f t="shared" ref="DW16:DW29" si="52">IF((DI16-DT16-DV16)&gt;0,(DI16-DT16-DV16),0)</f>
        <v>7.4941738453226353E-2</v>
      </c>
      <c r="DX16" s="29">
        <f t="shared" ref="DX16:DX29" si="53">DM16</f>
        <v>8.6307703119868101E-2</v>
      </c>
      <c r="DY16" s="29">
        <f t="shared" ref="DY16:DY29" si="54">((DJ16+DL16+DK16)-DU16-DW16-DX16)/2</f>
        <v>0.79160934184039433</v>
      </c>
      <c r="DZ16" s="29">
        <f t="shared" ref="DZ16:DZ29" si="55">SUM(DT16:DY16)</f>
        <v>1.000286223287679</v>
      </c>
      <c r="EA16" s="29">
        <f t="shared" ref="EA16:EA29" si="56">LN(DY16/(BO16^2*(BR16+BS16+BT16)^2))</f>
        <v>4.845471574150281</v>
      </c>
      <c r="EB16" s="29">
        <f t="shared" ref="EB16:EB29" si="57">LN(DW16/(BO16*BQ16^2*(BR16+BS16+BT16)))</f>
        <v>3.3966073745920684</v>
      </c>
      <c r="EE16" s="29">
        <f t="shared" ref="EE16:EE29" si="58">BO16</f>
        <v>0.4750672830196061</v>
      </c>
      <c r="EF16" s="29">
        <f t="shared" ref="EF16:EF29" si="59">BT16+BR16+BU16+BS16</f>
        <v>0.2337017203845381</v>
      </c>
      <c r="EG16" s="29">
        <f t="shared" ref="EG16:EG29" si="60">(7/2)*LN(1-BQ16)+7*LN(1-BP16)</f>
        <v>-0.88124758024440963</v>
      </c>
      <c r="EH16" s="29">
        <f t="shared" ref="EH16:EH29" si="61">(0.5-(-0.089*BU16-0.025*BS16+0.129*BR16))/(BT16+0.072*BU16+0.352*BS16+0.264*BR16)</f>
        <v>5.263895925461477</v>
      </c>
      <c r="EI16" s="29">
        <f>125.9*1000/8.3144+(C16*10^9-10^5)*6.5*(10^-6)/8.3144</f>
        <v>15924.101558741462</v>
      </c>
      <c r="EJ16" s="29">
        <f>67.92/8.3144+2*LN(EH16)+2*LN(2*EF16)-EG16</f>
        <v>10.850825311949871</v>
      </c>
      <c r="EK16" s="29">
        <f>EI16/EJ16</f>
        <v>1467.5474999311305</v>
      </c>
      <c r="EL16" s="29">
        <f t="shared" ref="EL16:EL29" si="62">D16</f>
        <v>1160</v>
      </c>
      <c r="EM16" s="29">
        <f t="shared" ref="EM16:EM29" si="63">1/(0.000407-0.0000329*C16+0.00001202*S16+0.000056662*EA16-0.000306214*BT16-0.0006176*BW16+0.00018946*BT16/(BT16+BR16)+0.00025746*DJ16)</f>
        <v>1193.2909608892974</v>
      </c>
      <c r="EO16" s="29">
        <f t="shared" ref="EO16:EO29" si="64">0.1788+0.00375*EL16+0.0001295*EL16*EB16-3.3424*BQ16+0.9795*BT16/(BT16+BR16)-2.622*DD16+1.4215*DJ16+3.608*(BV16+BW16)+0.0784*S16</f>
        <v>0.99720452054676667</v>
      </c>
      <c r="EP16" s="29">
        <f t="shared" ref="EP16:EP29" si="65">C16</f>
        <v>1</v>
      </c>
      <c r="EQ16" s="31">
        <f t="shared" ref="EQ16:EQ29" si="66">2064.1+0.321*EL16-343.4*LN(EL16)+31.52*DF16-12.28*DM16-290*DQ16+1.54*LN(DQ16)-177.2*(DF16-0.1715)^2-372*(DF16-0.1715)*(DM16-0.0736)</f>
        <v>8.1618754042640642</v>
      </c>
      <c r="ER16" s="31">
        <f t="shared" ref="ER16:ER29" si="67">2064.1+31.52*DF16-12.28*DM16-289.6*DQ16+1.544*LN(DQ16)-177.24*(DF16-0.17145)^2-371.87*(DF16-0.17145)*(DM16-0.07365)+0.321067*D16-343.43*LN(D16)</f>
        <v>8.0020977478970963</v>
      </c>
      <c r="ES16" s="31">
        <f t="shared" ref="ES16:ES29" si="68">3188.6+0.381*(273.15+EL16)-512.2*LN(EL16+273.15)-32.048*DF16-11.88*DM16-281*DQ16-178*(DF16-0.1715)^2-363*(DF16-0.1715)*(DM16-0.0736)</f>
        <v>2.650214520267586</v>
      </c>
      <c r="ET16" s="31">
        <f t="shared" ref="ET16:ET29" si="69">BT16/(BT16+BR16)</f>
        <v>0.36878073112517035</v>
      </c>
      <c r="EU16" s="31">
        <f t="shared" ref="EU16:EU29" si="70">(5573.8+587.9*C16-61*C16^2)/(5.3-0.633*LN(ET16)-3.97*EF16+0.06*EG16+24.7*BU16^2+0.081*S16+0.156*C16)</f>
        <v>1168.7784567851947</v>
      </c>
    </row>
    <row r="17" spans="1:151" s="29" customFormat="1" x14ac:dyDescent="0.15">
      <c r="A17" s="29" t="s">
        <v>109</v>
      </c>
      <c r="B17" s="29" t="s">
        <v>111</v>
      </c>
      <c r="C17" s="93">
        <v>0.7</v>
      </c>
      <c r="D17" s="37">
        <v>1120</v>
      </c>
      <c r="F17" s="38">
        <v>4061</v>
      </c>
      <c r="G17" s="30">
        <v>48.1</v>
      </c>
      <c r="H17" s="30">
        <v>3.88</v>
      </c>
      <c r="I17" s="30">
        <v>13.2</v>
      </c>
      <c r="J17" s="30">
        <v>16.399999999999999</v>
      </c>
      <c r="K17" s="30">
        <v>0.16</v>
      </c>
      <c r="L17" s="30">
        <v>4.0199999999999996</v>
      </c>
      <c r="M17" s="30">
        <v>6.51</v>
      </c>
      <c r="N17" s="30">
        <v>3.36</v>
      </c>
      <c r="O17" s="30">
        <v>1.36</v>
      </c>
      <c r="P17" s="30">
        <v>0</v>
      </c>
      <c r="Q17" s="30">
        <v>0</v>
      </c>
      <c r="R17" s="30">
        <v>1.59</v>
      </c>
      <c r="S17" s="30">
        <v>0</v>
      </c>
      <c r="T17" s="29">
        <f t="shared" ref="T17:T29" si="71">SUM(G17:R17)</f>
        <v>98.580000000000013</v>
      </c>
      <c r="V17" s="30">
        <v>52.5</v>
      </c>
      <c r="W17" s="30">
        <v>0.68</v>
      </c>
      <c r="X17" s="30">
        <v>2.16</v>
      </c>
      <c r="Y17" s="30">
        <v>19.899999999999999</v>
      </c>
      <c r="Z17" s="30">
        <v>0.25</v>
      </c>
      <c r="AA17" s="30">
        <v>22.8</v>
      </c>
      <c r="AB17" s="30">
        <v>1.66</v>
      </c>
      <c r="AC17" s="30">
        <v>0.05</v>
      </c>
      <c r="AD17" s="30">
        <v>0</v>
      </c>
      <c r="AE17" s="30">
        <v>0</v>
      </c>
      <c r="AF17" s="30">
        <v>0.01</v>
      </c>
      <c r="AG17" s="30">
        <v>0</v>
      </c>
      <c r="AH17" s="29">
        <f t="shared" ref="AH17:AH29" si="72">SUM(V17:AG17)</f>
        <v>100.01</v>
      </c>
      <c r="AJ17" s="40">
        <f t="shared" ref="AJ17:AJ29" si="73">EK17-273.15</f>
        <v>1174.3906304080951</v>
      </c>
      <c r="AK17" s="41">
        <f t="shared" ref="AK17:AK29" ca="1" si="74">10^4/(4.07-0.329*AN17+0.12*S17+0.567*EA17-3.06*BT17-6.17*BW17+1.89*BT17/(BT17+BR17)+2.57*DJ17)</f>
        <v>1208.8501009365873</v>
      </c>
      <c r="AL17" s="40">
        <f t="shared" ref="AL17:AL29" ca="1" si="75">(5573.8+587.9*AN17-61*AN17^2)/(5.3-0.633*LN(ET17)-3.97*EF17+0.06*EG17+24.7*BU17^2+0.081*S17+0.156*AN17)</f>
        <v>1163.6677244127261</v>
      </c>
      <c r="AM17" s="95">
        <f t="shared" ref="AM17:AM29" ca="1" si="76">AK17</f>
        <v>1208.8501009365873</v>
      </c>
      <c r="AN17" s="95">
        <f t="shared" ref="AN17:AN29" ca="1" si="77">AS17</f>
        <v>0.99962010246919097</v>
      </c>
      <c r="AO17" s="91">
        <f t="shared" ref="AO17:AO29" si="78">(-8.51+0.856*L17-1.14*X17+45.474*X17/I17+1.067*(N17+O17))/10</f>
        <v>0.49461599999999989</v>
      </c>
      <c r="AP17" s="91">
        <f t="shared" ref="AP17:AP29" si="79">(-0.892+31.81*X17/I17)/10</f>
        <v>0.43132727272727267</v>
      </c>
      <c r="AR17" s="40">
        <f t="shared" ref="AR17:AR29" ca="1" si="80">(-13.97+0.0129*AM17-19.64*BO17+47.49*BT17+6.99*DJ17+37.37*DW17+0.748*S17+79.67*(BV17+BW17)+0.001416*AM17*LN(DT17/(BO17^2*BQ17*BV17)))/10</f>
        <v>0.78732111782275216</v>
      </c>
      <c r="AS17" s="40">
        <f t="shared" ref="AS17:AS29" ca="1" si="81">(1.788+0.0375*AM17+0.001295*AM17*EB17-33.42*BQ17+9.795*BT17/(BT17+BR17)-26.2*DD17+14.21*DJ17+36.08*(BV17+BW17)+0.784*S17)/10</f>
        <v>0.99962010246861188</v>
      </c>
      <c r="AT17" s="40">
        <f t="shared" ref="AT17:AT29" ca="1" si="82">(2064+0.321*AM17-343.4*LN(AM17)+31.52*DF17-12.28*DM17-290*DQ17-177.2*(DF17-0.1715)^2-372*(DF17-0.1715)*(DM17-0.0736)+1.54*LN(DQ17))/10</f>
        <v>0.30279363839184226</v>
      </c>
      <c r="AU17" s="64"/>
      <c r="AV17" s="71">
        <f t="shared" si="0"/>
        <v>0.21394415917843385</v>
      </c>
      <c r="AX17" s="29">
        <f t="shared" si="1"/>
        <v>0.489549377968233</v>
      </c>
      <c r="AY17" s="29">
        <f t="shared" si="2"/>
        <v>2.288210997898469</v>
      </c>
      <c r="AZ17" s="29">
        <f t="shared" ref="AZ17:AZ29" si="83">100*(BG17/(BG17+BE17))</f>
        <v>30.411673722857529</v>
      </c>
      <c r="BA17" s="29">
        <f t="shared" ref="BA17:BA29" si="84">100*(CG17/(CG17+CE17))</f>
        <v>67.134397475565038</v>
      </c>
      <c r="BB17" s="29">
        <f t="shared" si="3"/>
        <v>0.8005992010652464</v>
      </c>
      <c r="BC17" s="29">
        <f t="shared" si="4"/>
        <v>4.8560700876095111E-2</v>
      </c>
      <c r="BD17" s="29">
        <f t="shared" si="5"/>
        <v>0.25892506865437426</v>
      </c>
      <c r="BE17" s="29">
        <f t="shared" si="6"/>
        <v>0.22825330549756437</v>
      </c>
      <c r="BF17" s="29">
        <f t="shared" si="7"/>
        <v>2.2554271215111362E-3</v>
      </c>
      <c r="BG17" s="29">
        <f t="shared" si="8"/>
        <v>9.9751861042183615E-2</v>
      </c>
      <c r="BH17" s="29">
        <f t="shared" si="9"/>
        <v>0.11608416547788873</v>
      </c>
      <c r="BI17" s="29">
        <f t="shared" si="10"/>
        <v>0.10842207163601161</v>
      </c>
      <c r="BJ17" s="29">
        <f t="shared" si="11"/>
        <v>2.8874734607218684E-2</v>
      </c>
      <c r="BK17" s="29">
        <f t="shared" si="12"/>
        <v>0</v>
      </c>
      <c r="BL17" s="29">
        <f t="shared" si="13"/>
        <v>0</v>
      </c>
      <c r="BM17" s="29">
        <f t="shared" ref="BM17:BM29" si="85">2*R17/BM$11</f>
        <v>2.2404306135820822E-2</v>
      </c>
      <c r="BN17" s="29">
        <f t="shared" ref="BN17:BN29" si="86">SUM(BB17:BM17)</f>
        <v>1.7141308421139148</v>
      </c>
      <c r="BO17" s="29">
        <f t="shared" ref="BO17:BO29" si="87">BB17/$BN17</f>
        <v>0.46705839565778118</v>
      </c>
      <c r="BP17" s="29">
        <f t="shared" ref="BP17:BP29" si="88">BC17/$BN17</f>
        <v>2.8329634869767979E-2</v>
      </c>
      <c r="BQ17" s="29">
        <f t="shared" ref="BQ17:BQ29" si="89">BD17/$BN17</f>
        <v>0.15105326985136125</v>
      </c>
      <c r="BR17" s="29">
        <f t="shared" ref="BR17:BR29" si="90">BE17/$BN17</f>
        <v>0.13315979147547216</v>
      </c>
      <c r="BS17" s="29">
        <f t="shared" ref="BS17:BS29" si="91">BF17/$BN17</f>
        <v>1.315784691633971E-3</v>
      </c>
      <c r="BT17" s="29">
        <f t="shared" ref="BT17:BT29" si="92">BG17/$BN17</f>
        <v>5.8193842961933286E-2</v>
      </c>
      <c r="BU17" s="29">
        <f t="shared" ref="BU17:BU29" si="93">BH17/$BN17</f>
        <v>6.7721881332425266E-2</v>
      </c>
      <c r="BV17" s="29">
        <f t="shared" ref="BV17:BV29" si="94">BI17/$BN17</f>
        <v>6.3251922765885496E-2</v>
      </c>
      <c r="BW17" s="29">
        <f t="shared" ref="BW17:BW29" si="95">BJ17/$BN17</f>
        <v>1.684511701079338E-2</v>
      </c>
      <c r="BX17" s="29">
        <f t="shared" ref="BX17:BX29" si="96">BK17/$BN17</f>
        <v>0</v>
      </c>
      <c r="BY17" s="29">
        <f t="shared" ref="BY17:BY29" si="97">BL17/$BN17</f>
        <v>0</v>
      </c>
      <c r="BZ17" s="29">
        <f t="shared" ref="BZ17:BZ29" si="98">BM17/$BN17</f>
        <v>1.3070359382946052E-2</v>
      </c>
      <c r="CA17" s="29">
        <f t="shared" ref="CA17:CA29" si="99">SUM(BO17:BZ17)</f>
        <v>1.0000000000000002</v>
      </c>
      <c r="CB17" s="29">
        <f t="shared" si="15"/>
        <v>0.87383488681757659</v>
      </c>
      <c r="CC17" s="29">
        <f t="shared" si="16"/>
        <v>8.5106382978723406E-3</v>
      </c>
      <c r="CD17" s="29">
        <f t="shared" si="17"/>
        <v>2.1184778344448808E-2</v>
      </c>
      <c r="CE17" s="29">
        <f t="shared" si="18"/>
        <v>0.27696590118302017</v>
      </c>
      <c r="CF17" s="29">
        <f t="shared" si="19"/>
        <v>3.5241048773611504E-3</v>
      </c>
      <c r="CG17" s="29">
        <f t="shared" si="20"/>
        <v>0.56575682382133996</v>
      </c>
      <c r="CH17" s="29">
        <f t="shared" si="21"/>
        <v>2.9600570613409413E-2</v>
      </c>
      <c r="CI17" s="29">
        <f t="shared" si="22"/>
        <v>8.067118425298484E-4</v>
      </c>
      <c r="CJ17" s="29">
        <f t="shared" si="23"/>
        <v>0</v>
      </c>
      <c r="CK17" s="29">
        <f t="shared" si="24"/>
        <v>0</v>
      </c>
      <c r="CL17" s="29">
        <f t="shared" si="25"/>
        <v>6.5790252779309236E-5</v>
      </c>
      <c r="CM17" s="29">
        <f t="shared" si="26"/>
        <v>1.7802502060503378</v>
      </c>
      <c r="CO17" s="29">
        <f t="shared" si="27"/>
        <v>0.64531080240074534</v>
      </c>
      <c r="CQ17" s="29">
        <f t="shared" si="28"/>
        <v>1.7476697736351532</v>
      </c>
      <c r="CR17" s="29">
        <f t="shared" si="28"/>
        <v>1.7021276595744681E-2</v>
      </c>
      <c r="CS17" s="29">
        <f t="shared" si="29"/>
        <v>6.3554335033346426E-2</v>
      </c>
      <c r="CT17" s="29">
        <f t="shared" si="30"/>
        <v>0.27696590118302017</v>
      </c>
      <c r="CU17" s="29">
        <f t="shared" si="30"/>
        <v>3.5241048773611504E-3</v>
      </c>
      <c r="CV17" s="29">
        <f t="shared" si="30"/>
        <v>0.56575682382133996</v>
      </c>
      <c r="CW17" s="29">
        <f t="shared" si="30"/>
        <v>2.9600570613409413E-2</v>
      </c>
      <c r="CX17" s="29">
        <f t="shared" si="30"/>
        <v>8.067118425298484E-4</v>
      </c>
      <c r="CY17" s="29">
        <f t="shared" si="30"/>
        <v>0</v>
      </c>
      <c r="CZ17" s="29">
        <f t="shared" si="30"/>
        <v>0</v>
      </c>
      <c r="DA17" s="29">
        <f t="shared" si="31"/>
        <v>1.9737075833792771E-4</v>
      </c>
      <c r="DB17" s="29">
        <f t="shared" si="32"/>
        <v>2.7050968683602425</v>
      </c>
      <c r="DC17" s="29">
        <f t="shared" si="33"/>
        <v>2.2180351728539169</v>
      </c>
      <c r="DD17" s="29">
        <f t="shared" si="34"/>
        <v>1.9381965142282065</v>
      </c>
      <c r="DE17" s="29">
        <f t="shared" si="35"/>
        <v>1.8876895088118441E-2</v>
      </c>
      <c r="DF17" s="29">
        <f t="shared" si="36"/>
        <v>9.397716699420286E-2</v>
      </c>
      <c r="DG17" s="29">
        <f t="shared" si="37"/>
        <v>1.9570734093163249</v>
      </c>
      <c r="DH17" s="29">
        <f t="shared" si="38"/>
        <v>6.1803485771793509E-2</v>
      </c>
      <c r="DI17" s="29">
        <f t="shared" si="39"/>
        <v>3.217368122240935E-2</v>
      </c>
      <c r="DJ17" s="29">
        <f t="shared" si="40"/>
        <v>0.61432011050512103</v>
      </c>
      <c r="DK17" s="29">
        <f t="shared" si="41"/>
        <v>7.8165885708130715E-3</v>
      </c>
      <c r="DL17" s="29">
        <f t="shared" si="42"/>
        <v>1.2548685345178487</v>
      </c>
      <c r="DM17" s="29">
        <f t="shared" si="43"/>
        <v>6.5655106757088119E-2</v>
      </c>
      <c r="DN17" s="29">
        <f t="shared" si="44"/>
        <v>3.5786304821779883E-3</v>
      </c>
      <c r="DO17" s="29">
        <f t="shared" si="45"/>
        <v>0</v>
      </c>
      <c r="DP17" s="29">
        <f t="shared" si="46"/>
        <v>0</v>
      </c>
      <c r="DQ17" s="29">
        <f t="shared" si="47"/>
        <v>2.9185018939091611E-4</v>
      </c>
      <c r="DR17" s="31">
        <f t="shared" si="48"/>
        <v>3.9975813973329677</v>
      </c>
      <c r="DT17" s="29">
        <f t="shared" si="49"/>
        <v>3.5786304821779883E-3</v>
      </c>
      <c r="DU17" s="29">
        <f t="shared" si="50"/>
        <v>1.8876895088118441E-2</v>
      </c>
      <c r="DV17" s="29">
        <f t="shared" si="51"/>
        <v>2.9185018939091611E-4</v>
      </c>
      <c r="DW17" s="31">
        <f t="shared" si="52"/>
        <v>2.8303200550840447E-2</v>
      </c>
      <c r="DX17" s="29">
        <f t="shared" si="53"/>
        <v>6.5655106757088119E-2</v>
      </c>
      <c r="DY17" s="29">
        <f t="shared" si="54"/>
        <v>0.88208501559886798</v>
      </c>
      <c r="DZ17" s="29">
        <f t="shared" si="55"/>
        <v>0.99879069866648384</v>
      </c>
      <c r="EA17" s="29">
        <f t="shared" si="56"/>
        <v>4.6906939576245028</v>
      </c>
      <c r="EB17" s="29">
        <f t="shared" si="57"/>
        <v>2.6235454585943381</v>
      </c>
      <c r="EE17" s="29">
        <f t="shared" si="58"/>
        <v>0.46705839565778118</v>
      </c>
      <c r="EF17" s="29">
        <f t="shared" si="59"/>
        <v>0.26039130046146464</v>
      </c>
      <c r="EG17" s="29">
        <f t="shared" si="60"/>
        <v>-0.77432657399027538</v>
      </c>
      <c r="EH17" s="29">
        <f t="shared" si="61"/>
        <v>4.95386158687585</v>
      </c>
      <c r="EI17" s="29">
        <f t="shared" ref="EI17:EI29" si="100">125.9*1000/8.3144+(C17*10^9-10^5)*6.5*(10^-6)/8.3144</f>
        <v>15689.568700086598</v>
      </c>
      <c r="EJ17" s="29">
        <f t="shared" ref="EJ17:EJ29" si="101">67.92/8.3144+2*LN(EH17)+2*LN(2*EF17)-EG17</f>
        <v>10.838776038820649</v>
      </c>
      <c r="EK17" s="29">
        <f t="shared" ref="EK17:EK29" si="102">EI17/EJ17</f>
        <v>1447.540630408095</v>
      </c>
      <c r="EL17" s="29">
        <f t="shared" si="62"/>
        <v>1120</v>
      </c>
      <c r="EM17" s="29">
        <f t="shared" si="63"/>
        <v>1194.2985144098864</v>
      </c>
      <c r="EO17" s="29">
        <f t="shared" si="64"/>
        <v>0.63261582456965304</v>
      </c>
      <c r="EP17" s="29">
        <f t="shared" si="65"/>
        <v>0.7</v>
      </c>
      <c r="EQ17" s="31">
        <f t="shared" si="66"/>
        <v>0.82251651842927853</v>
      </c>
      <c r="ER17" s="31">
        <f t="shared" si="67"/>
        <v>0.65440414046770456</v>
      </c>
      <c r="ES17" s="31">
        <f t="shared" si="68"/>
        <v>6.241998121958539</v>
      </c>
      <c r="ET17" s="31">
        <f t="shared" si="69"/>
        <v>0.3041167372285753</v>
      </c>
      <c r="EU17" s="31">
        <f t="shared" si="70"/>
        <v>1146.2126457280124</v>
      </c>
    </row>
    <row r="18" spans="1:151" s="29" customFormat="1" x14ac:dyDescent="0.15">
      <c r="A18" s="29" t="s">
        <v>109</v>
      </c>
      <c r="B18" s="29" t="s">
        <v>112</v>
      </c>
      <c r="C18" s="93">
        <v>0.7</v>
      </c>
      <c r="D18" s="37">
        <v>1145</v>
      </c>
      <c r="F18" s="38">
        <v>4060</v>
      </c>
      <c r="G18" s="30">
        <v>47.2</v>
      </c>
      <c r="H18" s="30">
        <v>4.76</v>
      </c>
      <c r="I18" s="30">
        <v>14.3</v>
      </c>
      <c r="J18" s="30">
        <v>15</v>
      </c>
      <c r="K18" s="30">
        <v>0.15</v>
      </c>
      <c r="L18" s="30">
        <v>4.8</v>
      </c>
      <c r="M18" s="30">
        <v>6.61</v>
      </c>
      <c r="N18" s="30">
        <v>3.65</v>
      </c>
      <c r="O18" s="30">
        <v>1.05</v>
      </c>
      <c r="P18" s="30">
        <v>0</v>
      </c>
      <c r="Q18" s="30">
        <v>0</v>
      </c>
      <c r="R18" s="30">
        <v>0.81</v>
      </c>
      <c r="S18" s="30">
        <v>0</v>
      </c>
      <c r="T18" s="29">
        <f t="shared" si="71"/>
        <v>98.330000000000013</v>
      </c>
      <c r="V18" s="30">
        <v>50.2</v>
      </c>
      <c r="W18" s="30">
        <v>1.24</v>
      </c>
      <c r="X18" s="30">
        <v>4.72</v>
      </c>
      <c r="Y18" s="30">
        <v>19.3</v>
      </c>
      <c r="Z18" s="30">
        <v>0.26</v>
      </c>
      <c r="AA18" s="30">
        <v>22.1</v>
      </c>
      <c r="AB18" s="30">
        <v>1.96</v>
      </c>
      <c r="AC18" s="30">
        <v>0.11</v>
      </c>
      <c r="AD18" s="30">
        <v>0</v>
      </c>
      <c r="AE18" s="30">
        <v>0</v>
      </c>
      <c r="AF18" s="30">
        <v>0.05</v>
      </c>
      <c r="AG18" s="30">
        <v>0</v>
      </c>
      <c r="AH18" s="29">
        <f t="shared" si="72"/>
        <v>99.940000000000012</v>
      </c>
      <c r="AJ18" s="40">
        <f t="shared" si="73"/>
        <v>1181.9100114829898</v>
      </c>
      <c r="AK18" s="41">
        <f t="shared" ca="1" si="74"/>
        <v>1215.5356048393789</v>
      </c>
      <c r="AL18" s="40">
        <f t="shared" ca="1" si="75"/>
        <v>1205.4565071201218</v>
      </c>
      <c r="AM18" s="95">
        <f t="shared" ca="1" si="76"/>
        <v>1215.5356048393789</v>
      </c>
      <c r="AN18" s="95">
        <f t="shared" ca="1" si="77"/>
        <v>1.3204768223300671</v>
      </c>
      <c r="AO18" s="91">
        <f t="shared" si="78"/>
        <v>1.0242499999999997</v>
      </c>
      <c r="AP18" s="91">
        <f t="shared" si="79"/>
        <v>0.96075244755244749</v>
      </c>
      <c r="AR18" s="40">
        <f t="shared" ca="1" si="80"/>
        <v>1.0811448861468596</v>
      </c>
      <c r="AS18" s="40">
        <f t="shared" ca="1" si="81"/>
        <v>1.3204768223296317</v>
      </c>
      <c r="AT18" s="40">
        <f t="shared" ca="1" si="82"/>
        <v>0.98326398051491126</v>
      </c>
      <c r="AU18" s="64"/>
      <c r="AV18" s="71">
        <f t="shared" si="0"/>
        <v>0.27945701357466063</v>
      </c>
      <c r="AX18" s="29">
        <f t="shared" si="1"/>
        <v>0.48982766384215487</v>
      </c>
      <c r="AY18" s="29">
        <f t="shared" si="2"/>
        <v>1.752783576896312</v>
      </c>
      <c r="AZ18" s="29">
        <f t="shared" si="83"/>
        <v>36.326865954623017</v>
      </c>
      <c r="BA18" s="29">
        <f t="shared" si="84"/>
        <v>67.121857397994219</v>
      </c>
      <c r="BB18" s="29">
        <f t="shared" si="3"/>
        <v>0.78561917443408791</v>
      </c>
      <c r="BC18" s="29">
        <f t="shared" si="4"/>
        <v>5.9574468085106379E-2</v>
      </c>
      <c r="BD18" s="29">
        <f t="shared" si="5"/>
        <v>0.28050215770890546</v>
      </c>
      <c r="BE18" s="29">
        <f t="shared" si="6"/>
        <v>0.20876826722338207</v>
      </c>
      <c r="BF18" s="29">
        <f t="shared" si="7"/>
        <v>2.11446292641669E-3</v>
      </c>
      <c r="BG18" s="29">
        <f t="shared" si="8"/>
        <v>0.11910669975186104</v>
      </c>
      <c r="BH18" s="29">
        <f t="shared" si="9"/>
        <v>0.11786733238231099</v>
      </c>
      <c r="BI18" s="29">
        <f t="shared" si="10"/>
        <v>0.11777992900935787</v>
      </c>
      <c r="BJ18" s="29">
        <f t="shared" si="11"/>
        <v>2.229299363057325E-2</v>
      </c>
      <c r="BK18" s="29">
        <f t="shared" si="12"/>
        <v>0</v>
      </c>
      <c r="BL18" s="29">
        <f t="shared" si="13"/>
        <v>0</v>
      </c>
      <c r="BM18" s="29">
        <f t="shared" si="85"/>
        <v>1.141351444655023E-2</v>
      </c>
      <c r="BN18" s="29">
        <f t="shared" si="86"/>
        <v>1.725038999598552</v>
      </c>
      <c r="BO18" s="29">
        <f t="shared" si="87"/>
        <v>0.4554211090977745</v>
      </c>
      <c r="BP18" s="29">
        <f t="shared" si="88"/>
        <v>3.4535142741103503E-2</v>
      </c>
      <c r="BQ18" s="29">
        <f t="shared" si="89"/>
        <v>0.16260627022008398</v>
      </c>
      <c r="BR18" s="29">
        <f t="shared" si="90"/>
        <v>0.12102234631910713</v>
      </c>
      <c r="BS18" s="29">
        <f t="shared" si="91"/>
        <v>1.225747897241027E-3</v>
      </c>
      <c r="BT18" s="29">
        <f t="shared" si="92"/>
        <v>6.90458011555561E-2</v>
      </c>
      <c r="BU18" s="29">
        <f t="shared" si="93"/>
        <v>6.8327343561357667E-2</v>
      </c>
      <c r="BV18" s="29">
        <f t="shared" si="94"/>
        <v>6.827667608486962E-2</v>
      </c>
      <c r="BW18" s="29">
        <f t="shared" si="95"/>
        <v>1.292318239515816E-2</v>
      </c>
      <c r="BX18" s="29">
        <f t="shared" si="96"/>
        <v>0</v>
      </c>
      <c r="BY18" s="29">
        <f t="shared" si="97"/>
        <v>0</v>
      </c>
      <c r="BZ18" s="29">
        <f t="shared" si="98"/>
        <v>6.6163805277482789E-3</v>
      </c>
      <c r="CA18" s="29">
        <f t="shared" si="99"/>
        <v>1.0000000000000002</v>
      </c>
      <c r="CB18" s="29">
        <f t="shared" si="15"/>
        <v>0.83555259653794944</v>
      </c>
      <c r="CC18" s="29">
        <f t="shared" si="16"/>
        <v>1.5519399249061325E-2</v>
      </c>
      <c r="CD18" s="29">
        <f t="shared" si="17"/>
        <v>4.629266378972146E-2</v>
      </c>
      <c r="CE18" s="29">
        <f t="shared" si="18"/>
        <v>0.26861517049408495</v>
      </c>
      <c r="CF18" s="29">
        <f t="shared" si="19"/>
        <v>3.6650690724555966E-3</v>
      </c>
      <c r="CG18" s="29">
        <f t="shared" si="20"/>
        <v>0.54838709677419362</v>
      </c>
      <c r="CH18" s="29">
        <f t="shared" si="21"/>
        <v>3.4950071326676178E-2</v>
      </c>
      <c r="CI18" s="29">
        <f t="shared" si="22"/>
        <v>1.7747660535656665E-3</v>
      </c>
      <c r="CJ18" s="29">
        <f t="shared" si="23"/>
        <v>0</v>
      </c>
      <c r="CK18" s="29">
        <f t="shared" si="24"/>
        <v>0</v>
      </c>
      <c r="CL18" s="29">
        <f t="shared" si="25"/>
        <v>3.2895126389654618E-4</v>
      </c>
      <c r="CM18" s="29">
        <f t="shared" si="26"/>
        <v>1.7550857845616046</v>
      </c>
      <c r="CO18" s="29">
        <f t="shared" si="27"/>
        <v>0.63935360899950489</v>
      </c>
      <c r="CQ18" s="29">
        <f t="shared" si="28"/>
        <v>1.6711051930758989</v>
      </c>
      <c r="CR18" s="29">
        <f t="shared" si="28"/>
        <v>3.103879849812265E-2</v>
      </c>
      <c r="CS18" s="29">
        <f t="shared" si="29"/>
        <v>0.13887799136916437</v>
      </c>
      <c r="CT18" s="29">
        <f t="shared" si="30"/>
        <v>0.26861517049408495</v>
      </c>
      <c r="CU18" s="29">
        <f t="shared" si="30"/>
        <v>3.6650690724555966E-3</v>
      </c>
      <c r="CV18" s="29">
        <f t="shared" si="30"/>
        <v>0.54838709677419362</v>
      </c>
      <c r="CW18" s="29">
        <f t="shared" si="30"/>
        <v>3.4950071326676178E-2</v>
      </c>
      <c r="CX18" s="29">
        <f t="shared" si="30"/>
        <v>1.7747660535656665E-3</v>
      </c>
      <c r="CY18" s="29">
        <f t="shared" si="30"/>
        <v>0</v>
      </c>
      <c r="CZ18" s="29">
        <f t="shared" si="30"/>
        <v>0</v>
      </c>
      <c r="DA18" s="29">
        <f t="shared" si="31"/>
        <v>9.8685379168963853E-4</v>
      </c>
      <c r="DB18" s="29">
        <f t="shared" si="32"/>
        <v>2.6994010104558517</v>
      </c>
      <c r="DC18" s="29">
        <f t="shared" si="33"/>
        <v>2.222715327126136</v>
      </c>
      <c r="DD18" s="29">
        <f t="shared" si="34"/>
        <v>1.8571955629449406</v>
      </c>
      <c r="DE18" s="29">
        <f t="shared" si="35"/>
        <v>3.4495206578678453E-2</v>
      </c>
      <c r="DF18" s="29">
        <f t="shared" si="36"/>
        <v>0.20579082667782192</v>
      </c>
      <c r="DG18" s="29">
        <f t="shared" si="37"/>
        <v>1.8916907695236191</v>
      </c>
      <c r="DH18" s="29">
        <f t="shared" si="38"/>
        <v>0.14280443705505941</v>
      </c>
      <c r="DI18" s="29">
        <f t="shared" si="39"/>
        <v>6.2986389622762512E-2</v>
      </c>
      <c r="DJ18" s="29">
        <f t="shared" si="40"/>
        <v>0.59705505655580282</v>
      </c>
      <c r="DK18" s="29">
        <f t="shared" si="41"/>
        <v>8.1464052023230253E-3</v>
      </c>
      <c r="DL18" s="29">
        <f t="shared" si="42"/>
        <v>1.2189084051982038</v>
      </c>
      <c r="DM18" s="29">
        <f t="shared" si="43"/>
        <v>7.7684059221954829E-2</v>
      </c>
      <c r="DN18" s="29">
        <f t="shared" si="44"/>
        <v>7.8895994186471436E-3</v>
      </c>
      <c r="DO18" s="29">
        <f t="shared" si="45"/>
        <v>0</v>
      </c>
      <c r="DP18" s="29">
        <f t="shared" si="46"/>
        <v>0</v>
      </c>
      <c r="DQ18" s="29">
        <f t="shared" si="47"/>
        <v>1.4623300322807351E-3</v>
      </c>
      <c r="DR18" s="31">
        <f t="shared" si="48"/>
        <v>4.0086274518306535</v>
      </c>
      <c r="DT18" s="29">
        <f t="shared" si="49"/>
        <v>7.8895994186471436E-3</v>
      </c>
      <c r="DU18" s="29">
        <f t="shared" si="50"/>
        <v>3.4495206578678453E-2</v>
      </c>
      <c r="DV18" s="29">
        <f t="shared" si="51"/>
        <v>1.4623300322807351E-3</v>
      </c>
      <c r="DW18" s="31">
        <f t="shared" si="52"/>
        <v>5.3634460171834632E-2</v>
      </c>
      <c r="DX18" s="29">
        <f t="shared" si="53"/>
        <v>7.7684059221954829E-2</v>
      </c>
      <c r="DY18" s="29">
        <f t="shared" si="54"/>
        <v>0.82914807049193084</v>
      </c>
      <c r="DZ18" s="29">
        <f t="shared" si="55"/>
        <v>1.0043137259153267</v>
      </c>
      <c r="EA18" s="29">
        <f t="shared" si="56"/>
        <v>4.6935976493463212</v>
      </c>
      <c r="EB18" s="29">
        <f t="shared" si="57"/>
        <v>3.1477606247947598</v>
      </c>
      <c r="EE18" s="29">
        <f t="shared" si="58"/>
        <v>0.4554211090977745</v>
      </c>
      <c r="EF18" s="29">
        <f t="shared" si="59"/>
        <v>0.25962123893326189</v>
      </c>
      <c r="EG18" s="29">
        <f t="shared" si="60"/>
        <v>-0.86713222987684646</v>
      </c>
      <c r="EH18" s="29">
        <f t="shared" si="61"/>
        <v>4.6122704731904074</v>
      </c>
      <c r="EI18" s="29">
        <f t="shared" si="100"/>
        <v>15689.568700086598</v>
      </c>
      <c r="EJ18" s="29">
        <f t="shared" si="101"/>
        <v>10.782763993421735</v>
      </c>
      <c r="EK18" s="29">
        <f t="shared" si="102"/>
        <v>1455.0600114829897</v>
      </c>
      <c r="EL18" s="29">
        <f t="shared" si="62"/>
        <v>1145</v>
      </c>
      <c r="EM18" s="29">
        <f t="shared" si="63"/>
        <v>1185.765375154268</v>
      </c>
      <c r="EO18" s="29">
        <f t="shared" si="64"/>
        <v>1.023734616733309</v>
      </c>
      <c r="EP18" s="29">
        <f t="shared" si="65"/>
        <v>0.7</v>
      </c>
      <c r="EQ18" s="31">
        <f t="shared" si="66"/>
        <v>7.8192209194481537</v>
      </c>
      <c r="ER18" s="31">
        <f t="shared" si="67"/>
        <v>7.6590406941813853</v>
      </c>
      <c r="ES18" s="31">
        <f t="shared" si="68"/>
        <v>3.6350587358255719</v>
      </c>
      <c r="ET18" s="31">
        <f t="shared" si="69"/>
        <v>0.36326865954623017</v>
      </c>
      <c r="EU18" s="31">
        <f t="shared" si="70"/>
        <v>1171.690755928518</v>
      </c>
    </row>
    <row r="19" spans="1:151" s="29" customFormat="1" x14ac:dyDescent="0.15">
      <c r="A19" s="29" t="s">
        <v>40</v>
      </c>
      <c r="B19" s="29" t="s">
        <v>39</v>
      </c>
      <c r="C19" s="93">
        <v>2.2999999999999998</v>
      </c>
      <c r="D19" s="37">
        <v>1470</v>
      </c>
      <c r="F19" s="38">
        <v>2527</v>
      </c>
      <c r="G19" s="30">
        <v>42.66</v>
      </c>
      <c r="H19" s="30">
        <v>0.66</v>
      </c>
      <c r="I19" s="30">
        <v>9.36</v>
      </c>
      <c r="J19" s="30">
        <v>20.48</v>
      </c>
      <c r="K19" s="30">
        <v>0.28000000000000003</v>
      </c>
      <c r="L19" s="30">
        <v>13.96</v>
      </c>
      <c r="M19" s="30">
        <v>11.13</v>
      </c>
      <c r="N19" s="30">
        <v>0.11</v>
      </c>
      <c r="O19" s="30">
        <v>0.04</v>
      </c>
      <c r="P19" s="30">
        <v>0</v>
      </c>
      <c r="Q19" s="30">
        <v>0.33</v>
      </c>
      <c r="R19" s="30">
        <v>0</v>
      </c>
      <c r="S19" s="30">
        <v>0</v>
      </c>
      <c r="T19" s="29">
        <f t="shared" si="71"/>
        <v>99.01</v>
      </c>
      <c r="V19" s="30">
        <v>53.55</v>
      </c>
      <c r="W19" s="30">
        <v>0.06</v>
      </c>
      <c r="X19" s="30">
        <v>3.95</v>
      </c>
      <c r="Y19" s="30">
        <v>12.59</v>
      </c>
      <c r="Z19" s="30">
        <v>0.17</v>
      </c>
      <c r="AA19" s="30">
        <v>26.86</v>
      </c>
      <c r="AB19" s="30">
        <v>2.5099999999999998</v>
      </c>
      <c r="AC19" s="30">
        <v>0.01</v>
      </c>
      <c r="AD19" s="30">
        <v>0</v>
      </c>
      <c r="AE19" s="30">
        <v>0</v>
      </c>
      <c r="AF19" s="30">
        <v>0.95</v>
      </c>
      <c r="AG19" s="30">
        <v>0</v>
      </c>
      <c r="AH19" s="29">
        <f t="shared" si="72"/>
        <v>100.65000000000002</v>
      </c>
      <c r="AJ19" s="40">
        <f t="shared" si="73"/>
        <v>1448.7734750042919</v>
      </c>
      <c r="AK19" s="41">
        <f t="shared" ca="1" si="74"/>
        <v>1457.2033489842529</v>
      </c>
      <c r="AL19" s="40">
        <f t="shared" ca="1" si="75"/>
        <v>1482.188403077409</v>
      </c>
      <c r="AM19" s="95">
        <f t="shared" ca="1" si="76"/>
        <v>1457.2033489842529</v>
      </c>
      <c r="AN19" s="95">
        <f t="shared" ca="1" si="77"/>
        <v>1.9947482189283083</v>
      </c>
      <c r="AO19" s="91">
        <f t="shared" si="78"/>
        <v>1.8287226666666669</v>
      </c>
      <c r="AP19" s="91">
        <f t="shared" si="79"/>
        <v>1.2532091880341882</v>
      </c>
      <c r="AR19" s="40">
        <f t="shared" ca="1" si="80"/>
        <v>1.6794918892565704</v>
      </c>
      <c r="AS19" s="40">
        <f t="shared" ca="1" si="81"/>
        <v>1.9947482189283083</v>
      </c>
      <c r="AT19" s="40">
        <f t="shared" ca="1" si="82"/>
        <v>2.1104232982727851</v>
      </c>
      <c r="AU19" s="64"/>
      <c r="AV19" s="71">
        <f t="shared" si="0"/>
        <v>0.31950318200856298</v>
      </c>
      <c r="AX19" s="29">
        <f t="shared" si="1"/>
        <v>0.26290448527922045</v>
      </c>
      <c r="AY19" s="29">
        <f t="shared" si="2"/>
        <v>0.82285404366387305</v>
      </c>
      <c r="AZ19" s="29">
        <f t="shared" si="83"/>
        <v>54.859027439741403</v>
      </c>
      <c r="BA19" s="29">
        <f t="shared" si="84"/>
        <v>79.182551939302527</v>
      </c>
      <c r="BB19" s="29">
        <f t="shared" si="3"/>
        <v>0.71005326231691079</v>
      </c>
      <c r="BC19" s="29">
        <f t="shared" si="4"/>
        <v>8.260325406758447E-3</v>
      </c>
      <c r="BD19" s="29">
        <f t="shared" si="5"/>
        <v>0.18360141231855628</v>
      </c>
      <c r="BE19" s="29">
        <f t="shared" si="6"/>
        <v>0.2850382741823243</v>
      </c>
      <c r="BF19" s="29">
        <f t="shared" si="7"/>
        <v>3.9469974626444885E-3</v>
      </c>
      <c r="BG19" s="29">
        <f t="shared" si="8"/>
        <v>0.34640198511166259</v>
      </c>
      <c r="BH19" s="29">
        <f t="shared" si="9"/>
        <v>0.19846647646219689</v>
      </c>
      <c r="BI19" s="29">
        <f t="shared" si="10"/>
        <v>3.5495321071313331E-3</v>
      </c>
      <c r="BJ19" s="29">
        <f t="shared" si="11"/>
        <v>8.4925690021231425E-4</v>
      </c>
      <c r="BK19" s="29">
        <f t="shared" si="12"/>
        <v>0</v>
      </c>
      <c r="BL19" s="29">
        <f t="shared" si="13"/>
        <v>4.3421566834344096E-3</v>
      </c>
      <c r="BM19" s="29">
        <f t="shared" si="85"/>
        <v>0</v>
      </c>
      <c r="BN19" s="29">
        <f t="shared" si="86"/>
        <v>1.744509678951832</v>
      </c>
      <c r="BO19" s="29">
        <f t="shared" si="87"/>
        <v>0.4070216811542931</v>
      </c>
      <c r="BP19" s="29">
        <f t="shared" si="88"/>
        <v>4.7350413164354383E-3</v>
      </c>
      <c r="BQ19" s="29">
        <f t="shared" si="89"/>
        <v>0.10524528154459482</v>
      </c>
      <c r="BR19" s="29">
        <f t="shared" si="90"/>
        <v>0.16339162666818002</v>
      </c>
      <c r="BS19" s="29">
        <f t="shared" si="91"/>
        <v>2.2625254019891681E-3</v>
      </c>
      <c r="BT19" s="29">
        <f t="shared" si="92"/>
        <v>0.19856696084357303</v>
      </c>
      <c r="BU19" s="29">
        <f t="shared" si="93"/>
        <v>0.11376633724465383</v>
      </c>
      <c r="BV19" s="29">
        <f t="shared" si="94"/>
        <v>2.0346875399762914E-3</v>
      </c>
      <c r="BW19" s="29">
        <f t="shared" si="95"/>
        <v>4.8681696092542191E-4</v>
      </c>
      <c r="BX19" s="29">
        <f t="shared" si="96"/>
        <v>0</v>
      </c>
      <c r="BY19" s="29">
        <f t="shared" si="97"/>
        <v>2.4890413253787981E-3</v>
      </c>
      <c r="BZ19" s="29">
        <f t="shared" si="98"/>
        <v>0</v>
      </c>
      <c r="CA19" s="29">
        <f t="shared" si="99"/>
        <v>0.99999999999999989</v>
      </c>
      <c r="CB19" s="29">
        <f t="shared" si="15"/>
        <v>0.89131158455392812</v>
      </c>
      <c r="CC19" s="29">
        <f t="shared" si="16"/>
        <v>7.5093867334167705E-4</v>
      </c>
      <c r="CD19" s="29">
        <f t="shared" si="17"/>
        <v>3.8740682620635548E-2</v>
      </c>
      <c r="CE19" s="29">
        <f t="shared" si="18"/>
        <v>0.17522616562282534</v>
      </c>
      <c r="CF19" s="29">
        <f t="shared" si="19"/>
        <v>2.3963913166055823E-3</v>
      </c>
      <c r="CG19" s="29">
        <f t="shared" si="20"/>
        <v>0.66650124069478911</v>
      </c>
      <c r="CH19" s="29">
        <f t="shared" si="21"/>
        <v>4.4757489300998571E-2</v>
      </c>
      <c r="CI19" s="29">
        <f t="shared" si="22"/>
        <v>1.6134236850596969E-4</v>
      </c>
      <c r="CJ19" s="29">
        <f t="shared" si="23"/>
        <v>0</v>
      </c>
      <c r="CK19" s="29">
        <f t="shared" si="24"/>
        <v>0</v>
      </c>
      <c r="CL19" s="29">
        <f t="shared" si="25"/>
        <v>6.2500740140343765E-3</v>
      </c>
      <c r="CM19" s="29">
        <f t="shared" si="26"/>
        <v>1.8260959091656641</v>
      </c>
      <c r="CO19" s="29">
        <f t="shared" si="27"/>
        <v>0.74445065644440234</v>
      </c>
      <c r="CQ19" s="29">
        <f>2*CB19</f>
        <v>1.7826231691078562</v>
      </c>
      <c r="CR19" s="29">
        <f>2*CC19</f>
        <v>1.5018773466833541E-3</v>
      </c>
      <c r="CS19" s="29">
        <f t="shared" si="29"/>
        <v>0.11622204786190665</v>
      </c>
      <c r="CT19" s="29">
        <f t="shared" ref="CT19:CY19" si="103">CE19</f>
        <v>0.17522616562282534</v>
      </c>
      <c r="CU19" s="29">
        <f t="shared" si="103"/>
        <v>2.3963913166055823E-3</v>
      </c>
      <c r="CV19" s="29">
        <f t="shared" si="103"/>
        <v>0.66650124069478911</v>
      </c>
      <c r="CW19" s="29">
        <f t="shared" si="103"/>
        <v>4.4757489300998571E-2</v>
      </c>
      <c r="CX19" s="29">
        <f t="shared" si="103"/>
        <v>1.6134236850596969E-4</v>
      </c>
      <c r="CY19" s="29">
        <f t="shared" si="103"/>
        <v>0</v>
      </c>
      <c r="CZ19" s="29">
        <f t="shared" ref="CZ19:CZ29" si="104">CK19</f>
        <v>0</v>
      </c>
      <c r="DA19" s="29">
        <f t="shared" si="31"/>
        <v>1.875022204210313E-2</v>
      </c>
      <c r="DB19" s="29">
        <f t="shared" si="32"/>
        <v>2.8081399456622735</v>
      </c>
      <c r="DC19" s="29">
        <f t="shared" si="33"/>
        <v>2.1366456501814248</v>
      </c>
      <c r="DD19" s="29">
        <f t="shared" si="34"/>
        <v>1.9044170200934638</v>
      </c>
      <c r="DE19" s="29">
        <f t="shared" si="35"/>
        <v>1.6044898499485041E-3</v>
      </c>
      <c r="DF19" s="29">
        <f t="shared" si="36"/>
        <v>0.16555022201288014</v>
      </c>
      <c r="DG19" s="29">
        <f t="shared" si="37"/>
        <v>1.9060215099434124</v>
      </c>
      <c r="DH19" s="29">
        <f t="shared" si="38"/>
        <v>9.5582979906536192E-2</v>
      </c>
      <c r="DI19" s="29">
        <f t="shared" si="39"/>
        <v>6.9967242106343946E-2</v>
      </c>
      <c r="DJ19" s="29">
        <f t="shared" si="40"/>
        <v>0.37439622457597965</v>
      </c>
      <c r="DK19" s="29">
        <f t="shared" si="41"/>
        <v>5.1202390827578548E-3</v>
      </c>
      <c r="DL19" s="29">
        <f t="shared" si="42"/>
        <v>1.4240769767710439</v>
      </c>
      <c r="DM19" s="29">
        <f t="shared" si="43"/>
        <v>9.5630894828020258E-2</v>
      </c>
      <c r="DN19" s="29">
        <f t="shared" si="44"/>
        <v>6.8946293971649728E-4</v>
      </c>
      <c r="DO19" s="29">
        <f t="shared" si="45"/>
        <v>0</v>
      </c>
      <c r="DP19" s="29">
        <f t="shared" si="46"/>
        <v>0</v>
      </c>
      <c r="DQ19" s="29">
        <f t="shared" si="47"/>
        <v>2.6708386910797015E-2</v>
      </c>
      <c r="DR19" s="31">
        <f t="shared" si="48"/>
        <v>3.9981939170646079</v>
      </c>
      <c r="DT19" s="29">
        <f t="shared" si="49"/>
        <v>6.8946293971649728E-4</v>
      </c>
      <c r="DU19" s="29">
        <f t="shared" si="50"/>
        <v>1.6044898499485041E-3</v>
      </c>
      <c r="DV19" s="29">
        <f t="shared" si="51"/>
        <v>2.6708386910797015E-2</v>
      </c>
      <c r="DW19" s="31">
        <f t="shared" si="52"/>
        <v>4.2569392255830431E-2</v>
      </c>
      <c r="DX19" s="29">
        <f t="shared" si="53"/>
        <v>9.5630894828020258E-2</v>
      </c>
      <c r="DY19" s="29">
        <f t="shared" si="54"/>
        <v>0.8318943317479911</v>
      </c>
      <c r="DZ19" s="29">
        <f t="shared" si="55"/>
        <v>0.99909695853230374</v>
      </c>
      <c r="EA19" s="29">
        <f t="shared" si="56"/>
        <v>3.6337160827018442</v>
      </c>
      <c r="EB19" s="29">
        <f t="shared" si="57"/>
        <v>3.2551864681363809</v>
      </c>
      <c r="EE19" s="29">
        <f t="shared" si="58"/>
        <v>0.4070216811542931</v>
      </c>
      <c r="EF19" s="29">
        <f t="shared" si="59"/>
        <v>0.47798745015839605</v>
      </c>
      <c r="EG19" s="29">
        <f t="shared" si="60"/>
        <v>-0.42244380547641597</v>
      </c>
      <c r="EH19" s="29">
        <f t="shared" si="61"/>
        <v>1.9510326424564424</v>
      </c>
      <c r="EI19" s="29">
        <f t="shared" si="100"/>
        <v>16940.410612912539</v>
      </c>
      <c r="EJ19" s="29">
        <f t="shared" si="101"/>
        <v>9.8380740252526699</v>
      </c>
      <c r="EK19" s="29">
        <f t="shared" si="102"/>
        <v>1721.923475004292</v>
      </c>
      <c r="EL19" s="29">
        <f t="shared" si="62"/>
        <v>1470</v>
      </c>
      <c r="EM19" s="29">
        <f t="shared" si="63"/>
        <v>1478.3125388750489</v>
      </c>
      <c r="EO19" s="29">
        <f t="shared" si="64"/>
        <v>2.0444663115333421</v>
      </c>
      <c r="EP19" s="29">
        <f t="shared" si="65"/>
        <v>2.2999999999999998</v>
      </c>
      <c r="EQ19" s="31">
        <f t="shared" si="66"/>
        <v>22.309503104063921</v>
      </c>
      <c r="ER19" s="31">
        <f t="shared" si="67"/>
        <v>22.184962043393625</v>
      </c>
      <c r="ES19" s="31">
        <f t="shared" si="68"/>
        <v>16.056096017800822</v>
      </c>
      <c r="ET19" s="31">
        <f t="shared" si="69"/>
        <v>0.54859027439741415</v>
      </c>
      <c r="EU19" s="31">
        <f t="shared" si="70"/>
        <v>1488.705475155464</v>
      </c>
    </row>
    <row r="20" spans="1:151" s="29" customFormat="1" x14ac:dyDescent="0.15">
      <c r="A20" s="29" t="s">
        <v>35</v>
      </c>
      <c r="B20" s="29" t="s">
        <v>36</v>
      </c>
      <c r="C20" s="93">
        <v>1.5</v>
      </c>
      <c r="D20" s="37">
        <v>1400</v>
      </c>
      <c r="F20" s="38">
        <v>334</v>
      </c>
      <c r="G20" s="30">
        <v>48.64</v>
      </c>
      <c r="H20" s="30">
        <v>1.1599999999999999</v>
      </c>
      <c r="I20" s="30">
        <v>14.32</v>
      </c>
      <c r="J20" s="30">
        <v>9.19</v>
      </c>
      <c r="K20" s="30">
        <v>0</v>
      </c>
      <c r="L20" s="30">
        <v>13.49</v>
      </c>
      <c r="M20" s="30">
        <v>10.19</v>
      </c>
      <c r="N20" s="30">
        <v>2.65</v>
      </c>
      <c r="O20" s="30">
        <v>0.21</v>
      </c>
      <c r="P20" s="30">
        <v>0</v>
      </c>
      <c r="Q20" s="30">
        <v>0.15</v>
      </c>
      <c r="R20" s="30">
        <v>0</v>
      </c>
      <c r="S20" s="30">
        <v>0</v>
      </c>
      <c r="T20" s="29">
        <f t="shared" si="71"/>
        <v>100</v>
      </c>
      <c r="V20" s="30">
        <v>54.95</v>
      </c>
      <c r="W20" s="30">
        <v>0.22</v>
      </c>
      <c r="X20" s="30">
        <v>4.32</v>
      </c>
      <c r="Y20" s="30">
        <v>6.85</v>
      </c>
      <c r="Z20" s="30">
        <v>0</v>
      </c>
      <c r="AA20" s="30">
        <v>30.59</v>
      </c>
      <c r="AB20" s="30">
        <v>2.38</v>
      </c>
      <c r="AC20" s="30">
        <v>0.2</v>
      </c>
      <c r="AD20" s="30">
        <v>0</v>
      </c>
      <c r="AE20" s="30">
        <v>0</v>
      </c>
      <c r="AF20" s="30">
        <v>0.49</v>
      </c>
      <c r="AG20" s="30">
        <v>0</v>
      </c>
      <c r="AH20" s="29">
        <f t="shared" si="72"/>
        <v>100</v>
      </c>
      <c r="AJ20" s="40">
        <f t="shared" si="73"/>
        <v>1383.0602680503962</v>
      </c>
      <c r="AK20" s="41">
        <f t="shared" ca="1" si="74"/>
        <v>1380.8073487328707</v>
      </c>
      <c r="AL20" s="40">
        <f t="shared" ca="1" si="75"/>
        <v>1391.0553887894309</v>
      </c>
      <c r="AM20" s="95">
        <f t="shared" ca="1" si="76"/>
        <v>1380.8073487328707</v>
      </c>
      <c r="AN20" s="95">
        <f t="shared" ca="1" si="77"/>
        <v>1.57477754720234</v>
      </c>
      <c r="AO20" s="91">
        <f t="shared" si="78"/>
        <v>1.4882673407821225</v>
      </c>
      <c r="AP20" s="91">
        <f t="shared" si="79"/>
        <v>0.87043128491620114</v>
      </c>
      <c r="AR20" s="40">
        <f t="shared" ca="1" si="80"/>
        <v>1.5882120995690392</v>
      </c>
      <c r="AS20" s="40">
        <f t="shared" ca="1" si="81"/>
        <v>1.57477754720234</v>
      </c>
      <c r="AT20" s="40">
        <f t="shared" ca="1" si="82"/>
        <v>1.8227168993279108</v>
      </c>
      <c r="AU20" s="64"/>
      <c r="AV20" s="71">
        <f t="shared" si="0"/>
        <v>0.32870592529011411</v>
      </c>
      <c r="AX20" s="29">
        <f t="shared" si="1"/>
        <v>0.12559992156118716</v>
      </c>
      <c r="AY20" s="29">
        <f t="shared" si="2"/>
        <v>0.38210422112206627</v>
      </c>
      <c r="AZ20" s="29">
        <f t="shared" si="83"/>
        <v>72.353443735823802</v>
      </c>
      <c r="BA20" s="29">
        <f t="shared" si="84"/>
        <v>88.841512942984011</v>
      </c>
      <c r="BB20" s="29">
        <f t="shared" si="3"/>
        <v>0.80958721704394143</v>
      </c>
      <c r="BC20" s="29">
        <f t="shared" si="4"/>
        <v>1.4518147684605754E-2</v>
      </c>
      <c r="BD20" s="29">
        <f t="shared" si="5"/>
        <v>0.28089446841898785</v>
      </c>
      <c r="BE20" s="29">
        <f t="shared" si="6"/>
        <v>0.12790535838552541</v>
      </c>
      <c r="BF20" s="29">
        <f t="shared" si="7"/>
        <v>0</v>
      </c>
      <c r="BG20" s="29">
        <f t="shared" si="8"/>
        <v>0.33473945409429284</v>
      </c>
      <c r="BH20" s="29">
        <f t="shared" si="9"/>
        <v>0.18170470756062768</v>
      </c>
      <c r="BI20" s="29">
        <f t="shared" si="10"/>
        <v>8.5511455308163925E-2</v>
      </c>
      <c r="BJ20" s="29">
        <f t="shared" si="11"/>
        <v>4.4585987261146496E-3</v>
      </c>
      <c r="BK20" s="29">
        <f t="shared" si="12"/>
        <v>0</v>
      </c>
      <c r="BL20" s="29">
        <f t="shared" si="13"/>
        <v>1.9737075833792766E-3</v>
      </c>
      <c r="BM20" s="29">
        <f t="shared" si="85"/>
        <v>0</v>
      </c>
      <c r="BN20" s="29">
        <f t="shared" si="86"/>
        <v>1.8412931148056391</v>
      </c>
      <c r="BO20" s="29">
        <f t="shared" si="87"/>
        <v>0.4396840516776705</v>
      </c>
      <c r="BP20" s="29">
        <f t="shared" si="88"/>
        <v>7.8847564072590595E-3</v>
      </c>
      <c r="BQ20" s="29">
        <f t="shared" si="89"/>
        <v>0.15255282614177273</v>
      </c>
      <c r="BR20" s="29">
        <f t="shared" si="90"/>
        <v>6.9464963159342877E-2</v>
      </c>
      <c r="BS20" s="29">
        <f t="shared" si="91"/>
        <v>0</v>
      </c>
      <c r="BT20" s="29">
        <f t="shared" si="92"/>
        <v>0.18179585390435071</v>
      </c>
      <c r="BU20" s="29">
        <f t="shared" si="93"/>
        <v>9.8683205894574716E-2</v>
      </c>
      <c r="BV20" s="29">
        <f t="shared" si="94"/>
        <v>4.6440979233874038E-2</v>
      </c>
      <c r="BW20" s="29">
        <f t="shared" si="95"/>
        <v>2.4214497356578042E-3</v>
      </c>
      <c r="BX20" s="29">
        <f t="shared" si="96"/>
        <v>0</v>
      </c>
      <c r="BY20" s="29">
        <f t="shared" si="97"/>
        <v>1.0719138454974425E-3</v>
      </c>
      <c r="BZ20" s="29">
        <f t="shared" si="98"/>
        <v>0</v>
      </c>
      <c r="CA20" s="29">
        <f t="shared" si="99"/>
        <v>0.99999999999999989</v>
      </c>
      <c r="CB20" s="29">
        <f t="shared" si="15"/>
        <v>0.91461384820239688</v>
      </c>
      <c r="CC20" s="29">
        <f t="shared" si="16"/>
        <v>2.753441802252816E-3</v>
      </c>
      <c r="CD20" s="29">
        <f t="shared" si="17"/>
        <v>4.2369556688897615E-2</v>
      </c>
      <c r="CE20" s="29">
        <f t="shared" si="18"/>
        <v>9.5337508698677798E-2</v>
      </c>
      <c r="CF20" s="29">
        <f t="shared" si="19"/>
        <v>0</v>
      </c>
      <c r="CG20" s="29">
        <f t="shared" si="20"/>
        <v>0.75905707196029781</v>
      </c>
      <c r="CH20" s="29">
        <f t="shared" si="21"/>
        <v>4.2439372325249643E-2</v>
      </c>
      <c r="CI20" s="29">
        <f t="shared" si="22"/>
        <v>3.2268473701193936E-3</v>
      </c>
      <c r="CJ20" s="29">
        <f t="shared" si="23"/>
        <v>0</v>
      </c>
      <c r="CK20" s="29">
        <f t="shared" si="24"/>
        <v>0</v>
      </c>
      <c r="CL20" s="29">
        <f t="shared" si="25"/>
        <v>3.2237223861861521E-3</v>
      </c>
      <c r="CM20" s="29">
        <f t="shared" si="26"/>
        <v>1.863021369434078</v>
      </c>
      <c r="CO20" s="29">
        <f t="shared" si="27"/>
        <v>0.84032998778430035</v>
      </c>
      <c r="CQ20" s="29">
        <f t="shared" ref="CQ20:CR22" si="105">2*CB20</f>
        <v>1.8292276964047938</v>
      </c>
      <c r="CR20" s="29">
        <f t="shared" si="105"/>
        <v>5.5068836045056319E-3</v>
      </c>
      <c r="CS20" s="29">
        <f t="shared" si="29"/>
        <v>0.12710867006669285</v>
      </c>
      <c r="CT20" s="29">
        <f t="shared" ref="CT20:CY22" si="106">CE20</f>
        <v>9.5337508698677798E-2</v>
      </c>
      <c r="CU20" s="29">
        <f t="shared" si="106"/>
        <v>0</v>
      </c>
      <c r="CV20" s="29">
        <f t="shared" si="106"/>
        <v>0.75905707196029781</v>
      </c>
      <c r="CW20" s="29">
        <f t="shared" ref="CW20:CY21" si="107">CH20</f>
        <v>4.2439372325249643E-2</v>
      </c>
      <c r="CX20" s="29">
        <f t="shared" si="107"/>
        <v>3.2268473701193936E-3</v>
      </c>
      <c r="CY20" s="29">
        <f t="shared" si="107"/>
        <v>0</v>
      </c>
      <c r="CZ20" s="29">
        <f t="shared" si="104"/>
        <v>0</v>
      </c>
      <c r="DA20" s="29">
        <f t="shared" si="31"/>
        <v>9.6711671585584559E-3</v>
      </c>
      <c r="DB20" s="29">
        <f t="shared" si="32"/>
        <v>2.8715752175888958</v>
      </c>
      <c r="DC20" s="29">
        <f t="shared" si="33"/>
        <v>2.0894455291468459</v>
      </c>
      <c r="DD20" s="29">
        <f t="shared" si="34"/>
        <v>1.9110358160222902</v>
      </c>
      <c r="DE20" s="29">
        <f t="shared" si="35"/>
        <v>5.7531666634831804E-3</v>
      </c>
      <c r="DF20" s="29">
        <f t="shared" si="36"/>
        <v>0.17705776159110193</v>
      </c>
      <c r="DG20" s="29">
        <f t="shared" si="37"/>
        <v>1.9167889826857734</v>
      </c>
      <c r="DH20" s="29">
        <f t="shared" si="38"/>
        <v>8.8964183977709776E-2</v>
      </c>
      <c r="DI20" s="29">
        <f t="shared" si="39"/>
        <v>8.8093577613392149E-2</v>
      </c>
      <c r="DJ20" s="29">
        <f t="shared" si="40"/>
        <v>0.19920253131045085</v>
      </c>
      <c r="DK20" s="29">
        <f t="shared" si="41"/>
        <v>0</v>
      </c>
      <c r="DL20" s="29">
        <f t="shared" si="42"/>
        <v>1.5860084053747399</v>
      </c>
      <c r="DM20" s="29">
        <f t="shared" si="43"/>
        <v>8.8674756764791252E-2</v>
      </c>
      <c r="DN20" s="29">
        <f t="shared" si="44"/>
        <v>1.3484643621470449E-2</v>
      </c>
      <c r="DO20" s="29">
        <f t="shared" si="45"/>
        <v>0</v>
      </c>
      <c r="DP20" s="29">
        <f t="shared" si="46"/>
        <v>0</v>
      </c>
      <c r="DQ20" s="29">
        <f t="shared" si="47"/>
        <v>1.3471584654054515E-2</v>
      </c>
      <c r="DR20" s="31">
        <f t="shared" si="48"/>
        <v>3.9946886660023821</v>
      </c>
      <c r="DT20" s="29">
        <f t="shared" si="49"/>
        <v>1.3484643621470449E-2</v>
      </c>
      <c r="DU20" s="29">
        <f t="shared" si="50"/>
        <v>5.7531666634831804E-3</v>
      </c>
      <c r="DV20" s="29">
        <f t="shared" si="51"/>
        <v>1.3471584654054515E-2</v>
      </c>
      <c r="DW20" s="31">
        <f t="shared" si="52"/>
        <v>6.1137349337867186E-2</v>
      </c>
      <c r="DX20" s="29">
        <f t="shared" si="53"/>
        <v>8.8674756764791252E-2</v>
      </c>
      <c r="DY20" s="29">
        <f t="shared" si="54"/>
        <v>0.81482283195952465</v>
      </c>
      <c r="DZ20" s="29">
        <f t="shared" si="55"/>
        <v>0.9973443330011913</v>
      </c>
      <c r="EA20" s="29">
        <f t="shared" si="56"/>
        <v>4.201140710361118</v>
      </c>
      <c r="EB20" s="29">
        <f t="shared" si="57"/>
        <v>3.1688190084562526</v>
      </c>
      <c r="EE20" s="29">
        <f t="shared" si="58"/>
        <v>0.4396840516776705</v>
      </c>
      <c r="EF20" s="29">
        <f t="shared" si="59"/>
        <v>0.34994402295826832</v>
      </c>
      <c r="EG20" s="29">
        <f t="shared" si="60"/>
        <v>-0.63475574518117028</v>
      </c>
      <c r="EH20" s="29">
        <f t="shared" si="61"/>
        <v>2.4118042824267638</v>
      </c>
      <c r="EI20" s="29">
        <f t="shared" si="100"/>
        <v>16314.989656499569</v>
      </c>
      <c r="EJ20" s="29">
        <f t="shared" si="101"/>
        <v>9.85079610435257</v>
      </c>
      <c r="EK20" s="29">
        <f t="shared" si="102"/>
        <v>1656.2102680503963</v>
      </c>
      <c r="EL20" s="29">
        <f t="shared" si="62"/>
        <v>1400</v>
      </c>
      <c r="EM20" s="29">
        <f t="shared" si="63"/>
        <v>1375.7076413161799</v>
      </c>
      <c r="EO20" s="29">
        <f t="shared" si="64"/>
        <v>1.6508424338986831</v>
      </c>
      <c r="EP20" s="29">
        <f t="shared" si="65"/>
        <v>1.5</v>
      </c>
      <c r="EQ20" s="31">
        <f t="shared" si="66"/>
        <v>19.747759991476457</v>
      </c>
      <c r="ER20" s="31">
        <f t="shared" si="67"/>
        <v>19.612127791918738</v>
      </c>
      <c r="ES20" s="31">
        <f t="shared" si="68"/>
        <v>13.735189358519014</v>
      </c>
      <c r="ET20" s="31">
        <f t="shared" si="69"/>
        <v>0.72353443735823808</v>
      </c>
      <c r="EU20" s="31">
        <f t="shared" si="70"/>
        <v>1388.0437000556699</v>
      </c>
    </row>
    <row r="21" spans="1:151" s="29" customFormat="1" x14ac:dyDescent="0.15">
      <c r="A21" s="29" t="s">
        <v>35</v>
      </c>
      <c r="B21" s="29" t="s">
        <v>37</v>
      </c>
      <c r="C21" s="93">
        <v>1.5</v>
      </c>
      <c r="D21" s="37">
        <v>1350</v>
      </c>
      <c r="F21" s="38">
        <v>333</v>
      </c>
      <c r="G21" s="30">
        <v>48.52</v>
      </c>
      <c r="H21" s="30">
        <v>1.54</v>
      </c>
      <c r="I21" s="30">
        <v>17.72</v>
      </c>
      <c r="J21" s="30">
        <v>8.67</v>
      </c>
      <c r="K21" s="30">
        <v>0</v>
      </c>
      <c r="L21" s="30">
        <v>10.37</v>
      </c>
      <c r="M21" s="30">
        <v>9.43</v>
      </c>
      <c r="N21" s="30">
        <v>3</v>
      </c>
      <c r="O21" s="30">
        <v>0.28000000000000003</v>
      </c>
      <c r="P21" s="30">
        <v>0</v>
      </c>
      <c r="Q21" s="30">
        <v>7.0000000000000007E-2</v>
      </c>
      <c r="R21" s="30">
        <v>0</v>
      </c>
      <c r="S21" s="30">
        <v>0</v>
      </c>
      <c r="T21" s="29">
        <f t="shared" si="71"/>
        <v>99.6</v>
      </c>
      <c r="V21" s="30">
        <v>53.93</v>
      </c>
      <c r="W21" s="30">
        <v>0.19</v>
      </c>
      <c r="X21" s="30">
        <v>5.21</v>
      </c>
      <c r="Y21" s="30">
        <v>7.69</v>
      </c>
      <c r="Z21" s="30">
        <v>0</v>
      </c>
      <c r="AA21" s="30">
        <v>29.7</v>
      </c>
      <c r="AB21" s="30">
        <v>2.61</v>
      </c>
      <c r="AC21" s="30">
        <v>0.1</v>
      </c>
      <c r="AD21" s="30">
        <v>0</v>
      </c>
      <c r="AE21" s="30">
        <v>0</v>
      </c>
      <c r="AF21" s="30">
        <v>0.47</v>
      </c>
      <c r="AG21" s="30">
        <v>0</v>
      </c>
      <c r="AH21" s="29">
        <f t="shared" si="72"/>
        <v>99.899999999999991</v>
      </c>
      <c r="AJ21" s="40">
        <f t="shared" si="73"/>
        <v>1330.8431208675738</v>
      </c>
      <c r="AK21" s="41">
        <f t="shared" ca="1" si="74"/>
        <v>1305.7666322378511</v>
      </c>
      <c r="AL21" s="40">
        <f t="shared" ca="1" si="75"/>
        <v>1317.7732147328256</v>
      </c>
      <c r="AM21" s="95">
        <f t="shared" ca="1" si="76"/>
        <v>1305.7666322378511</v>
      </c>
      <c r="AN21" s="95">
        <f t="shared" ca="1" si="77"/>
        <v>1.2263736153637383</v>
      </c>
      <c r="AO21" s="91">
        <f t="shared" si="78"/>
        <v>1.1297257200902935</v>
      </c>
      <c r="AP21" s="91">
        <f t="shared" si="79"/>
        <v>0.84607144469525974</v>
      </c>
      <c r="AR21" s="40">
        <f t="shared" ca="1" si="80"/>
        <v>1.2263650649430133</v>
      </c>
      <c r="AS21" s="40">
        <f t="shared" ca="1" si="81"/>
        <v>1.2263736153637383</v>
      </c>
      <c r="AT21" s="40">
        <f t="shared" ca="1" si="82"/>
        <v>1.3801517446121934</v>
      </c>
      <c r="AU21" s="64"/>
      <c r="AV21" s="71">
        <f t="shared" si="0"/>
        <v>0.30969168812306069</v>
      </c>
      <c r="AX21" s="29">
        <f t="shared" si="1"/>
        <v>0.14522726686957724</v>
      </c>
      <c r="AY21" s="29">
        <f t="shared" si="2"/>
        <v>0.46894144221225914</v>
      </c>
      <c r="AZ21" s="29">
        <f t="shared" si="83"/>
        <v>68.076233079378397</v>
      </c>
      <c r="BA21" s="29">
        <f t="shared" si="84"/>
        <v>87.318912929260847</v>
      </c>
      <c r="BB21" s="29">
        <f t="shared" si="3"/>
        <v>0.80758988015978705</v>
      </c>
      <c r="BC21" s="29">
        <f t="shared" si="4"/>
        <v>1.9274092615769713E-2</v>
      </c>
      <c r="BD21" s="29">
        <f t="shared" si="5"/>
        <v>0.3475872891329933</v>
      </c>
      <c r="BE21" s="29">
        <f t="shared" si="6"/>
        <v>0.12066805845511483</v>
      </c>
      <c r="BF21" s="29">
        <f t="shared" si="7"/>
        <v>0</v>
      </c>
      <c r="BG21" s="29">
        <f t="shared" si="8"/>
        <v>0.25732009925558313</v>
      </c>
      <c r="BH21" s="29">
        <f t="shared" si="9"/>
        <v>0.16815263908701855</v>
      </c>
      <c r="BI21" s="29">
        <f t="shared" si="10"/>
        <v>9.6805421103581812E-2</v>
      </c>
      <c r="BJ21" s="29">
        <f t="shared" si="11"/>
        <v>5.9447983014862E-3</v>
      </c>
      <c r="BK21" s="29">
        <f t="shared" si="12"/>
        <v>0</v>
      </c>
      <c r="BL21" s="29">
        <f t="shared" si="13"/>
        <v>9.210635389103293E-4</v>
      </c>
      <c r="BM21" s="29">
        <f t="shared" si="85"/>
        <v>0</v>
      </c>
      <c r="BN21" s="29">
        <f t="shared" si="86"/>
        <v>1.8242633416502447</v>
      </c>
      <c r="BO21" s="29">
        <f t="shared" si="87"/>
        <v>0.44269369543392462</v>
      </c>
      <c r="BP21" s="29">
        <f t="shared" si="88"/>
        <v>1.0565411350279176E-2</v>
      </c>
      <c r="BQ21" s="29">
        <f t="shared" si="89"/>
        <v>0.19053569799772591</v>
      </c>
      <c r="BR21" s="29">
        <f t="shared" si="90"/>
        <v>6.6146183887002538E-2</v>
      </c>
      <c r="BS21" s="29">
        <f t="shared" si="91"/>
        <v>0</v>
      </c>
      <c r="BT21" s="29">
        <f t="shared" si="92"/>
        <v>0.14105425098484362</v>
      </c>
      <c r="BU21" s="29">
        <f t="shared" si="93"/>
        <v>9.2175638926618009E-2</v>
      </c>
      <c r="BV21" s="29">
        <f t="shared" si="94"/>
        <v>5.3065486157284056E-2</v>
      </c>
      <c r="BW21" s="29">
        <f t="shared" si="95"/>
        <v>3.2587391117054861E-3</v>
      </c>
      <c r="BX21" s="29">
        <f t="shared" si="96"/>
        <v>0</v>
      </c>
      <c r="BY21" s="29">
        <f t="shared" si="97"/>
        <v>5.0489615061667962E-4</v>
      </c>
      <c r="BZ21" s="29">
        <f t="shared" si="98"/>
        <v>0</v>
      </c>
      <c r="CA21" s="29">
        <f t="shared" si="99"/>
        <v>1</v>
      </c>
      <c r="CB21" s="29">
        <f t="shared" si="15"/>
        <v>0.8976364846870839</v>
      </c>
      <c r="CC21" s="29">
        <f t="shared" si="16"/>
        <v>2.3779724655819774E-3</v>
      </c>
      <c r="CD21" s="29">
        <f t="shared" si="17"/>
        <v>5.1098469988230678E-2</v>
      </c>
      <c r="CE21" s="29">
        <f t="shared" si="18"/>
        <v>0.10702853166318721</v>
      </c>
      <c r="CF21" s="29">
        <f t="shared" si="19"/>
        <v>0</v>
      </c>
      <c r="CG21" s="29">
        <f t="shared" si="20"/>
        <v>0.73697270471464027</v>
      </c>
      <c r="CH21" s="29">
        <f t="shared" si="21"/>
        <v>4.6540656205420826E-2</v>
      </c>
      <c r="CI21" s="29">
        <f t="shared" si="22"/>
        <v>1.6134236850596968E-3</v>
      </c>
      <c r="CJ21" s="29">
        <f t="shared" si="23"/>
        <v>0</v>
      </c>
      <c r="CK21" s="29">
        <f t="shared" si="24"/>
        <v>0</v>
      </c>
      <c r="CL21" s="29">
        <f t="shared" si="25"/>
        <v>3.0921418806275336E-3</v>
      </c>
      <c r="CM21" s="29">
        <f t="shared" si="26"/>
        <v>1.8463603852898325</v>
      </c>
      <c r="CO21" s="29">
        <f t="shared" si="27"/>
        <v>0.82320558188285375</v>
      </c>
      <c r="CQ21" s="29">
        <f t="shared" si="105"/>
        <v>1.7952729693741678</v>
      </c>
      <c r="CR21" s="29">
        <f t="shared" si="105"/>
        <v>4.7559449311639548E-3</v>
      </c>
      <c r="CS21" s="29">
        <f t="shared" si="29"/>
        <v>0.15329540996469204</v>
      </c>
      <c r="CT21" s="29">
        <f t="shared" si="106"/>
        <v>0.10702853166318721</v>
      </c>
      <c r="CU21" s="29">
        <f t="shared" si="106"/>
        <v>0</v>
      </c>
      <c r="CV21" s="29">
        <f t="shared" si="106"/>
        <v>0.73697270471464027</v>
      </c>
      <c r="CW21" s="29">
        <f t="shared" si="107"/>
        <v>4.6540656205420826E-2</v>
      </c>
      <c r="CX21" s="29">
        <f t="shared" si="107"/>
        <v>1.6134236850596968E-3</v>
      </c>
      <c r="CY21" s="29">
        <f t="shared" si="107"/>
        <v>0</v>
      </c>
      <c r="CZ21" s="29">
        <f t="shared" si="104"/>
        <v>0</v>
      </c>
      <c r="DA21" s="29">
        <f t="shared" si="31"/>
        <v>9.2764256418826005E-3</v>
      </c>
      <c r="DB21" s="29">
        <f t="shared" si="32"/>
        <v>2.8547560661802147</v>
      </c>
      <c r="DC21" s="29">
        <f t="shared" si="33"/>
        <v>2.1017557580771711</v>
      </c>
      <c r="DD21" s="29">
        <f t="shared" si="34"/>
        <v>1.886612650351229</v>
      </c>
      <c r="DE21" s="29">
        <f t="shared" si="35"/>
        <v>4.9979173220858885E-3</v>
      </c>
      <c r="DF21" s="29">
        <f t="shared" si="36"/>
        <v>0.21479300705339469</v>
      </c>
      <c r="DG21" s="29">
        <f t="shared" si="37"/>
        <v>1.891610567673315</v>
      </c>
      <c r="DH21" s="29">
        <f t="shared" si="38"/>
        <v>0.11338734964877095</v>
      </c>
      <c r="DI21" s="29">
        <f t="shared" si="39"/>
        <v>0.10140565740462373</v>
      </c>
      <c r="DJ21" s="29">
        <f t="shared" si="40"/>
        <v>0.22494783270164853</v>
      </c>
      <c r="DK21" s="29">
        <f t="shared" si="41"/>
        <v>0</v>
      </c>
      <c r="DL21" s="29">
        <f t="shared" si="42"/>
        <v>1.5489366256797019</v>
      </c>
      <c r="DM21" s="29">
        <f t="shared" si="43"/>
        <v>9.7817092164433239E-2</v>
      </c>
      <c r="DN21" s="29">
        <f t="shared" si="44"/>
        <v>6.7820450405846116E-3</v>
      </c>
      <c r="DO21" s="29">
        <f t="shared" si="45"/>
        <v>0</v>
      </c>
      <c r="DP21" s="29">
        <f t="shared" si="46"/>
        <v>0</v>
      </c>
      <c r="DQ21" s="29">
        <f t="shared" si="47"/>
        <v>1.2997854004800982E-2</v>
      </c>
      <c r="DR21" s="31">
        <f t="shared" si="48"/>
        <v>3.9978850243178785</v>
      </c>
      <c r="DT21" s="29">
        <f t="shared" si="49"/>
        <v>6.7820450405846116E-3</v>
      </c>
      <c r="DU21" s="29">
        <f t="shared" si="50"/>
        <v>4.9979173220858885E-3</v>
      </c>
      <c r="DV21" s="29">
        <f t="shared" si="51"/>
        <v>1.2997854004800982E-2</v>
      </c>
      <c r="DW21" s="31">
        <f t="shared" si="52"/>
        <v>8.1625758359238146E-2</v>
      </c>
      <c r="DX21" s="29">
        <f t="shared" si="53"/>
        <v>9.7817092164433239E-2</v>
      </c>
      <c r="DY21" s="29">
        <f t="shared" si="54"/>
        <v>0.79472184526779655</v>
      </c>
      <c r="DZ21" s="29">
        <f t="shared" si="55"/>
        <v>0.99894251215893948</v>
      </c>
      <c r="EA21" s="29">
        <f t="shared" si="56"/>
        <v>4.5481285949083077</v>
      </c>
      <c r="EB21" s="29">
        <f t="shared" si="57"/>
        <v>3.1991668714687842</v>
      </c>
      <c r="EE21" s="29">
        <f t="shared" si="58"/>
        <v>0.44269369543392462</v>
      </c>
      <c r="EF21" s="29">
        <f t="shared" si="59"/>
        <v>0.29937607379846415</v>
      </c>
      <c r="EG21" s="29">
        <f t="shared" si="60"/>
        <v>-0.81419047088673324</v>
      </c>
      <c r="EH21" s="29">
        <f t="shared" si="61"/>
        <v>3.0254932884176178</v>
      </c>
      <c r="EI21" s="29">
        <f t="shared" si="100"/>
        <v>16314.989656499569</v>
      </c>
      <c r="EJ21" s="29">
        <f t="shared" si="101"/>
        <v>10.17148355828051</v>
      </c>
      <c r="EK21" s="29">
        <f t="shared" si="102"/>
        <v>1603.9931208675737</v>
      </c>
      <c r="EL21" s="29">
        <f t="shared" si="62"/>
        <v>1350</v>
      </c>
      <c r="EM21" s="29">
        <f t="shared" si="63"/>
        <v>1320.9289667763469</v>
      </c>
      <c r="EO21" s="29">
        <f t="shared" si="64"/>
        <v>1.4068373140644279</v>
      </c>
      <c r="EP21" s="29">
        <f t="shared" si="65"/>
        <v>1.5</v>
      </c>
      <c r="EQ21" s="31">
        <f t="shared" si="66"/>
        <v>16.660309378974386</v>
      </c>
      <c r="ER21" s="31">
        <f t="shared" si="67"/>
        <v>16.522000014345849</v>
      </c>
      <c r="ES21" s="31">
        <f t="shared" si="68"/>
        <v>8.3618917305035705</v>
      </c>
      <c r="ET21" s="31">
        <f t="shared" si="69"/>
        <v>0.68076233079378401</v>
      </c>
      <c r="EU21" s="31">
        <f t="shared" si="70"/>
        <v>1330.2173460543816</v>
      </c>
    </row>
    <row r="22" spans="1:151" s="29" customFormat="1" x14ac:dyDescent="0.15">
      <c r="A22" s="29" t="s">
        <v>35</v>
      </c>
      <c r="B22" s="29" t="s">
        <v>38</v>
      </c>
      <c r="C22" s="93">
        <v>1.5</v>
      </c>
      <c r="D22" s="37">
        <v>1300</v>
      </c>
      <c r="F22" s="38">
        <v>332</v>
      </c>
      <c r="G22" s="30">
        <v>49.09</v>
      </c>
      <c r="H22" s="30">
        <v>2.1800000000000002</v>
      </c>
      <c r="I22" s="30">
        <v>19.3</v>
      </c>
      <c r="J22" s="30">
        <v>8.24</v>
      </c>
      <c r="K22" s="30">
        <v>0</v>
      </c>
      <c r="L22" s="30">
        <v>7.29</v>
      </c>
      <c r="M22" s="30">
        <v>5.95</v>
      </c>
      <c r="N22" s="30">
        <v>7.04</v>
      </c>
      <c r="O22" s="30">
        <v>0.88</v>
      </c>
      <c r="P22" s="30">
        <v>0</v>
      </c>
      <c r="Q22" s="30">
        <v>0.03</v>
      </c>
      <c r="R22" s="30">
        <v>0</v>
      </c>
      <c r="S22" s="30">
        <v>0</v>
      </c>
      <c r="T22" s="29">
        <f t="shared" si="71"/>
        <v>100.00000000000001</v>
      </c>
      <c r="V22" s="30">
        <v>53.06</v>
      </c>
      <c r="W22" s="30">
        <v>0.46</v>
      </c>
      <c r="X22" s="30">
        <v>6.41</v>
      </c>
      <c r="Y22" s="30">
        <v>9.5500000000000007</v>
      </c>
      <c r="Z22" s="30">
        <v>0</v>
      </c>
      <c r="AA22" s="30">
        <v>28.25</v>
      </c>
      <c r="AB22" s="30">
        <v>1.93</v>
      </c>
      <c r="AC22" s="30">
        <v>0.28999999999999998</v>
      </c>
      <c r="AD22" s="30">
        <v>0</v>
      </c>
      <c r="AE22" s="30">
        <v>0</v>
      </c>
      <c r="AF22" s="30">
        <v>0.04</v>
      </c>
      <c r="AG22" s="30">
        <v>0</v>
      </c>
      <c r="AH22" s="29">
        <f t="shared" si="72"/>
        <v>99.990000000000023</v>
      </c>
      <c r="AJ22" s="40">
        <f t="shared" si="73"/>
        <v>1315.992491752414</v>
      </c>
      <c r="AK22" s="41">
        <f t="shared" ca="1" si="74"/>
        <v>1243.2362481554367</v>
      </c>
      <c r="AL22" s="40">
        <f t="shared" ca="1" si="75"/>
        <v>1252.0618687821482</v>
      </c>
      <c r="AM22" s="95">
        <f t="shared" ca="1" si="76"/>
        <v>1243.2362481554367</v>
      </c>
      <c r="AN22" s="95">
        <f t="shared" ca="1" si="77"/>
        <v>1.3393336919672558</v>
      </c>
      <c r="AO22" s="91">
        <f t="shared" si="78"/>
        <v>1.3976502797927461</v>
      </c>
      <c r="AP22" s="91">
        <f t="shared" si="79"/>
        <v>0.9672875647668393</v>
      </c>
      <c r="AR22" s="40">
        <f t="shared" ca="1" si="80"/>
        <v>1.717436109226081</v>
      </c>
      <c r="AS22" s="40">
        <f t="shared" ca="1" si="81"/>
        <v>1.3393336919672558</v>
      </c>
      <c r="AT22" s="40">
        <f t="shared" ca="1" si="82"/>
        <v>1.1335523342062683</v>
      </c>
      <c r="AU22" s="64"/>
      <c r="AV22" s="71">
        <f t="shared" si="0"/>
        <v>0.29907852908325461</v>
      </c>
      <c r="AX22" s="29">
        <f t="shared" si="1"/>
        <v>0.18961085348655327</v>
      </c>
      <c r="AY22" s="29">
        <f t="shared" si="2"/>
        <v>0.63398350282032856</v>
      </c>
      <c r="AZ22" s="29">
        <f t="shared" si="83"/>
        <v>61.20012829223522</v>
      </c>
      <c r="BA22" s="29">
        <f t="shared" si="84"/>
        <v>84.061102592428867</v>
      </c>
      <c r="BB22" s="29">
        <f t="shared" si="3"/>
        <v>0.81707723035952073</v>
      </c>
      <c r="BC22" s="29">
        <f t="shared" si="4"/>
        <v>2.7284105131414268E-2</v>
      </c>
      <c r="BD22" s="29">
        <f t="shared" si="5"/>
        <v>0.37857983522950178</v>
      </c>
      <c r="BE22" s="29">
        <f t="shared" si="6"/>
        <v>0.11468336812804455</v>
      </c>
      <c r="BF22" s="29">
        <f t="shared" si="7"/>
        <v>0</v>
      </c>
      <c r="BG22" s="29">
        <f t="shared" si="8"/>
        <v>0.18089330024813896</v>
      </c>
      <c r="BH22" s="29">
        <f t="shared" si="9"/>
        <v>0.10609843081312412</v>
      </c>
      <c r="BI22" s="29">
        <f t="shared" si="10"/>
        <v>0.22717005485640532</v>
      </c>
      <c r="BJ22" s="29">
        <f t="shared" si="11"/>
        <v>1.8683651804670912E-2</v>
      </c>
      <c r="BK22" s="29">
        <f t="shared" si="12"/>
        <v>0</v>
      </c>
      <c r="BL22" s="29">
        <f t="shared" si="13"/>
        <v>3.9474151667585536E-4</v>
      </c>
      <c r="BM22" s="29">
        <f t="shared" si="85"/>
        <v>0</v>
      </c>
      <c r="BN22" s="29">
        <f t="shared" si="86"/>
        <v>1.8708647180874964</v>
      </c>
      <c r="BO22" s="29">
        <f t="shared" si="87"/>
        <v>0.43673774082114458</v>
      </c>
      <c r="BP22" s="29">
        <f t="shared" si="88"/>
        <v>1.4583686820127551E-2</v>
      </c>
      <c r="BQ22" s="29">
        <f t="shared" si="89"/>
        <v>0.20235553729213915</v>
      </c>
      <c r="BR22" s="29">
        <f t="shared" si="90"/>
        <v>6.1299658398219388E-2</v>
      </c>
      <c r="BS22" s="29">
        <f t="shared" si="91"/>
        <v>0</v>
      </c>
      <c r="BT22" s="29">
        <f t="shared" si="92"/>
        <v>9.668967429834173E-2</v>
      </c>
      <c r="BU22" s="29">
        <f t="shared" si="93"/>
        <v>5.6710904742264812E-2</v>
      </c>
      <c r="BV22" s="29">
        <f t="shared" si="94"/>
        <v>0.12142516380801247</v>
      </c>
      <c r="BW22" s="29">
        <f t="shared" si="95"/>
        <v>9.986639666694018E-3</v>
      </c>
      <c r="BX22" s="29">
        <f t="shared" si="96"/>
        <v>0</v>
      </c>
      <c r="BY22" s="29">
        <f t="shared" si="97"/>
        <v>2.1099415305633772E-4</v>
      </c>
      <c r="BZ22" s="29">
        <f t="shared" si="98"/>
        <v>0</v>
      </c>
      <c r="CA22" s="29">
        <f t="shared" si="99"/>
        <v>1</v>
      </c>
      <c r="CB22" s="29">
        <f t="shared" si="15"/>
        <v>0.88315579227696406</v>
      </c>
      <c r="CC22" s="29">
        <f t="shared" si="16"/>
        <v>5.7571964956195246E-3</v>
      </c>
      <c r="CD22" s="29">
        <f t="shared" si="17"/>
        <v>6.2867791290702246E-2</v>
      </c>
      <c r="CE22" s="29">
        <f t="shared" si="18"/>
        <v>0.1329157967988866</v>
      </c>
      <c r="CF22" s="29">
        <f t="shared" si="19"/>
        <v>0</v>
      </c>
      <c r="CG22" s="29">
        <f t="shared" si="20"/>
        <v>0.70099255583126552</v>
      </c>
      <c r="CH22" s="29">
        <f t="shared" si="21"/>
        <v>3.4415121255349498E-2</v>
      </c>
      <c r="CI22" s="29">
        <f t="shared" si="22"/>
        <v>4.67892868667312E-3</v>
      </c>
      <c r="CJ22" s="29">
        <f t="shared" si="23"/>
        <v>0</v>
      </c>
      <c r="CK22" s="29">
        <f t="shared" si="24"/>
        <v>0</v>
      </c>
      <c r="CL22" s="29">
        <f t="shared" si="25"/>
        <v>2.6316101111723694E-4</v>
      </c>
      <c r="CM22" s="29">
        <f t="shared" si="26"/>
        <v>1.8250463436465776</v>
      </c>
      <c r="CO22" s="29">
        <f t="shared" si="27"/>
        <v>0.80272552252589202</v>
      </c>
      <c r="CQ22" s="29">
        <f t="shared" si="105"/>
        <v>1.7663115845539281</v>
      </c>
      <c r="CR22" s="29">
        <f t="shared" si="105"/>
        <v>1.1514392991239049E-2</v>
      </c>
      <c r="CS22" s="29">
        <f t="shared" si="29"/>
        <v>0.18860337387210674</v>
      </c>
      <c r="CT22" s="29">
        <f t="shared" si="106"/>
        <v>0.1329157967988866</v>
      </c>
      <c r="CU22" s="29">
        <f t="shared" si="106"/>
        <v>0</v>
      </c>
      <c r="CV22" s="29">
        <f t="shared" si="106"/>
        <v>0.70099255583126552</v>
      </c>
      <c r="CW22" s="29">
        <f t="shared" si="106"/>
        <v>3.4415121255349498E-2</v>
      </c>
      <c r="CX22" s="29">
        <f t="shared" si="106"/>
        <v>4.67892868667312E-3</v>
      </c>
      <c r="CY22" s="29">
        <f t="shared" si="106"/>
        <v>0</v>
      </c>
      <c r="CZ22" s="29">
        <f t="shared" si="104"/>
        <v>0</v>
      </c>
      <c r="DA22" s="29">
        <f t="shared" si="31"/>
        <v>7.8948303335171083E-4</v>
      </c>
      <c r="DB22" s="29">
        <f t="shared" si="32"/>
        <v>2.8402212370228006</v>
      </c>
      <c r="DC22" s="29">
        <f t="shared" si="33"/>
        <v>2.1125114909320826</v>
      </c>
      <c r="DD22" s="29">
        <f t="shared" si="34"/>
        <v>1.8656767594683139</v>
      </c>
      <c r="DE22" s="29">
        <f t="shared" si="35"/>
        <v>1.2162143752550163E-2</v>
      </c>
      <c r="DF22" s="29">
        <f t="shared" si="36"/>
        <v>0.26561786302225682</v>
      </c>
      <c r="DG22" s="29">
        <f t="shared" si="37"/>
        <v>1.877838903220864</v>
      </c>
      <c r="DH22" s="29">
        <f t="shared" si="38"/>
        <v>0.13432324053168609</v>
      </c>
      <c r="DI22" s="29">
        <f t="shared" si="39"/>
        <v>0.13129462249057072</v>
      </c>
      <c r="DJ22" s="29">
        <f t="shared" si="40"/>
        <v>0.28078614806404167</v>
      </c>
      <c r="DK22" s="29">
        <f t="shared" si="41"/>
        <v>0</v>
      </c>
      <c r="DL22" s="29">
        <f t="shared" si="42"/>
        <v>1.4808548292513979</v>
      </c>
      <c r="DM22" s="29">
        <f t="shared" si="43"/>
        <v>7.2702339113746781E-2</v>
      </c>
      <c r="DN22" s="29">
        <f t="shared" si="44"/>
        <v>1.9768581231697446E-2</v>
      </c>
      <c r="DO22" s="29">
        <f t="shared" si="45"/>
        <v>0</v>
      </c>
      <c r="DP22" s="29">
        <f t="shared" si="46"/>
        <v>0</v>
      </c>
      <c r="DQ22" s="29">
        <f t="shared" si="47"/>
        <v>1.1118613199009371E-3</v>
      </c>
      <c r="DR22" s="31">
        <f t="shared" si="48"/>
        <v>3.9986805252239055</v>
      </c>
      <c r="DT22" s="29">
        <f t="shared" si="49"/>
        <v>1.9768581231697446E-2</v>
      </c>
      <c r="DU22" s="29">
        <f t="shared" si="50"/>
        <v>1.2162143752550163E-2</v>
      </c>
      <c r="DV22" s="29">
        <f t="shared" si="51"/>
        <v>1.1118613199009371E-3</v>
      </c>
      <c r="DW22" s="31">
        <f t="shared" si="52"/>
        <v>0.11041417993897235</v>
      </c>
      <c r="DX22" s="29">
        <f t="shared" si="53"/>
        <v>7.2702339113746781E-2</v>
      </c>
      <c r="DY22" s="29">
        <f t="shared" si="54"/>
        <v>0.78318115725508519</v>
      </c>
      <c r="DZ22" s="29">
        <f t="shared" si="55"/>
        <v>0.99934026261195286</v>
      </c>
      <c r="EA22" s="29">
        <f t="shared" si="56"/>
        <v>5.1029090778291222</v>
      </c>
      <c r="EB22" s="29">
        <f t="shared" si="57"/>
        <v>3.6655915365865228</v>
      </c>
      <c r="EE22" s="29">
        <f t="shared" si="58"/>
        <v>0.43673774082114458</v>
      </c>
      <c r="EF22" s="29">
        <f t="shared" si="59"/>
        <v>0.21470023743882594</v>
      </c>
      <c r="EG22" s="29">
        <f t="shared" si="60"/>
        <v>-0.89416062583008871</v>
      </c>
      <c r="EH22" s="29">
        <f t="shared" si="61"/>
        <v>4.2506561892248111</v>
      </c>
      <c r="EI22" s="29">
        <f t="shared" si="100"/>
        <v>16314.989656499569</v>
      </c>
      <c r="EJ22" s="29">
        <f t="shared" si="101"/>
        <v>10.266536664379508</v>
      </c>
      <c r="EK22" s="29">
        <f t="shared" si="102"/>
        <v>1589.1424917524141</v>
      </c>
      <c r="EL22" s="29">
        <f t="shared" si="62"/>
        <v>1300</v>
      </c>
      <c r="EM22" s="29">
        <f t="shared" si="63"/>
        <v>1251.1627707370908</v>
      </c>
      <c r="EO22" s="29">
        <f t="shared" si="64"/>
        <v>1.5754712770453962</v>
      </c>
      <c r="EP22" s="29">
        <f t="shared" si="65"/>
        <v>1.5</v>
      </c>
      <c r="EQ22" s="31">
        <f t="shared" si="66"/>
        <v>14.325111478431779</v>
      </c>
      <c r="ER22" s="31">
        <f t="shared" si="67"/>
        <v>14.170079460101988</v>
      </c>
      <c r="ES22" s="31">
        <f t="shared" si="68"/>
        <v>6.5155866629423684</v>
      </c>
      <c r="ET22" s="31">
        <f t="shared" si="69"/>
        <v>0.61200128292235212</v>
      </c>
      <c r="EU22" s="31">
        <f t="shared" si="70"/>
        <v>1259.0856017905421</v>
      </c>
    </row>
    <row r="23" spans="1:151" s="29" customFormat="1" x14ac:dyDescent="0.15">
      <c r="A23" s="29" t="s">
        <v>33</v>
      </c>
      <c r="B23" s="29">
        <v>147</v>
      </c>
      <c r="C23" s="93">
        <v>2.2000000000000002</v>
      </c>
      <c r="D23" s="37">
        <v>1433</v>
      </c>
      <c r="F23" s="38">
        <v>1856</v>
      </c>
      <c r="G23" s="30">
        <v>48.5</v>
      </c>
      <c r="H23" s="30">
        <v>1.72</v>
      </c>
      <c r="I23" s="30">
        <v>10.93</v>
      </c>
      <c r="J23" s="30">
        <v>11.78</v>
      </c>
      <c r="K23" s="30">
        <v>0.09</v>
      </c>
      <c r="L23" s="30">
        <v>16.059999999999999</v>
      </c>
      <c r="M23" s="30">
        <v>8.5500000000000007</v>
      </c>
      <c r="N23" s="30">
        <v>1.59</v>
      </c>
      <c r="O23" s="30">
        <v>0.22</v>
      </c>
      <c r="P23" s="30">
        <v>0</v>
      </c>
      <c r="Q23" s="30">
        <v>0.01</v>
      </c>
      <c r="R23" s="30">
        <v>0.23</v>
      </c>
      <c r="S23" s="30">
        <v>0</v>
      </c>
      <c r="T23" s="29">
        <f t="shared" si="71"/>
        <v>99.68</v>
      </c>
      <c r="V23" s="30">
        <v>55.6</v>
      </c>
      <c r="W23" s="30">
        <v>0.22</v>
      </c>
      <c r="X23" s="30">
        <v>3.08</v>
      </c>
      <c r="Y23" s="30">
        <v>7.95</v>
      </c>
      <c r="Z23" s="30">
        <v>0.13</v>
      </c>
      <c r="AA23" s="30">
        <v>31.9</v>
      </c>
      <c r="AB23" s="30">
        <v>1.88</v>
      </c>
      <c r="AC23" s="30">
        <v>7.0000000000000007E-2</v>
      </c>
      <c r="AD23" s="30">
        <v>0</v>
      </c>
      <c r="AE23" s="30">
        <v>0</v>
      </c>
      <c r="AF23" s="30">
        <v>0.01</v>
      </c>
      <c r="AG23" s="30">
        <v>0</v>
      </c>
      <c r="AH23" s="29">
        <f t="shared" si="72"/>
        <v>100.83999999999999</v>
      </c>
      <c r="AJ23" s="40">
        <f t="shared" si="73"/>
        <v>1485.2014909942036</v>
      </c>
      <c r="AK23" s="41">
        <f t="shared" ca="1" si="74"/>
        <v>1459.7280915934002</v>
      </c>
      <c r="AL23" s="40">
        <f t="shared" ca="1" si="75"/>
        <v>1474.0726087759965</v>
      </c>
      <c r="AM23" s="95">
        <f t="shared" ca="1" si="76"/>
        <v>1459.7280915934002</v>
      </c>
      <c r="AN23" s="95">
        <f t="shared" ca="1" si="77"/>
        <v>1.9455049282633727</v>
      </c>
      <c r="AO23" s="91">
        <f t="shared" si="78"/>
        <v>1.6471695324794147</v>
      </c>
      <c r="AP23" s="91">
        <f t="shared" si="79"/>
        <v>0.80718426349496808</v>
      </c>
      <c r="AR23" s="40">
        <f t="shared" ca="1" si="80"/>
        <v>1.6350280957064656</v>
      </c>
      <c r="AS23" s="40">
        <f t="shared" ca="1" si="81"/>
        <v>1.9455049282183243</v>
      </c>
      <c r="AT23" s="40">
        <f t="shared" ca="1" si="82"/>
        <v>2.0508537791852937</v>
      </c>
      <c r="AU23" s="64"/>
      <c r="AV23" s="71">
        <f t="shared" si="0"/>
        <v>0.33976347988993622</v>
      </c>
      <c r="AX23" s="29">
        <f t="shared" si="1"/>
        <v>0.13978311660264006</v>
      </c>
      <c r="AY23" s="29">
        <f t="shared" si="2"/>
        <v>0.41141301192206337</v>
      </c>
      <c r="AZ23" s="29">
        <f t="shared" si="83"/>
        <v>70.850983486272327</v>
      </c>
      <c r="BA23" s="29">
        <f t="shared" si="84"/>
        <v>87.735989894350013</v>
      </c>
      <c r="BB23" s="29">
        <f t="shared" si="3"/>
        <v>0.80725699067909451</v>
      </c>
      <c r="BC23" s="29">
        <f t="shared" si="4"/>
        <v>2.1526908635794741E-2</v>
      </c>
      <c r="BD23" s="29">
        <f t="shared" si="5"/>
        <v>0.21439780306002354</v>
      </c>
      <c r="BE23" s="29">
        <f t="shared" si="6"/>
        <v>0.16395267919276271</v>
      </c>
      <c r="BF23" s="29">
        <f t="shared" si="7"/>
        <v>1.268677755850014E-3</v>
      </c>
      <c r="BG23" s="29">
        <f t="shared" si="8"/>
        <v>0.39851116625310173</v>
      </c>
      <c r="BH23" s="29">
        <f t="shared" si="9"/>
        <v>0.15246077032810273</v>
      </c>
      <c r="BI23" s="29">
        <f t="shared" si="10"/>
        <v>5.1306873184898356E-2</v>
      </c>
      <c r="BJ23" s="29">
        <f t="shared" si="11"/>
        <v>4.6709129511677281E-3</v>
      </c>
      <c r="BK23" s="29">
        <f t="shared" si="12"/>
        <v>0</v>
      </c>
      <c r="BL23" s="29">
        <f t="shared" si="13"/>
        <v>1.3158050555861847E-4</v>
      </c>
      <c r="BM23" s="29">
        <f t="shared" si="85"/>
        <v>3.2408744724772257E-3</v>
      </c>
      <c r="BN23" s="29">
        <f t="shared" si="86"/>
        <v>1.818725237018832</v>
      </c>
      <c r="BO23" s="29">
        <f t="shared" si="87"/>
        <v>0.44385868423001146</v>
      </c>
      <c r="BP23" s="29">
        <f t="shared" si="88"/>
        <v>1.1836262123398378E-2</v>
      </c>
      <c r="BQ23" s="29">
        <f t="shared" si="89"/>
        <v>0.11788355860253757</v>
      </c>
      <c r="BR23" s="29">
        <f t="shared" si="90"/>
        <v>9.014703037909462E-2</v>
      </c>
      <c r="BS23" s="29">
        <f t="shared" si="91"/>
        <v>6.9756427745488938E-4</v>
      </c>
      <c r="BT23" s="29">
        <f t="shared" si="92"/>
        <v>0.21911565207415404</v>
      </c>
      <c r="BU23" s="29">
        <f t="shared" si="93"/>
        <v>8.3828369027313429E-2</v>
      </c>
      <c r="BV23" s="29">
        <f t="shared" si="94"/>
        <v>2.8210348732499113E-2</v>
      </c>
      <c r="BW23" s="29">
        <f t="shared" si="95"/>
        <v>2.568234528280955E-3</v>
      </c>
      <c r="BX23" s="29">
        <f t="shared" si="96"/>
        <v>0</v>
      </c>
      <c r="BY23" s="29">
        <f t="shared" si="97"/>
        <v>7.2347654764113225E-5</v>
      </c>
      <c r="BZ23" s="29">
        <f t="shared" si="98"/>
        <v>1.7819483704913631E-3</v>
      </c>
      <c r="CA23" s="29">
        <f t="shared" si="99"/>
        <v>1</v>
      </c>
      <c r="CB23" s="29">
        <f t="shared" si="15"/>
        <v>0.92543275632490019</v>
      </c>
      <c r="CC23" s="29">
        <f t="shared" si="16"/>
        <v>2.753441802252816E-3</v>
      </c>
      <c r="CD23" s="29">
        <f t="shared" si="17"/>
        <v>3.0207924676343666E-2</v>
      </c>
      <c r="CE23" s="29">
        <f t="shared" si="18"/>
        <v>0.1106471816283925</v>
      </c>
      <c r="CF23" s="29">
        <f t="shared" si="19"/>
        <v>1.8325345362277983E-3</v>
      </c>
      <c r="CG23" s="29">
        <f t="shared" si="20"/>
        <v>0.79156327543424321</v>
      </c>
      <c r="CH23" s="29">
        <f t="shared" si="21"/>
        <v>3.3523537803138374E-2</v>
      </c>
      <c r="CI23" s="29">
        <f t="shared" si="22"/>
        <v>1.1293965795417878E-3</v>
      </c>
      <c r="CJ23" s="29">
        <f t="shared" si="23"/>
        <v>0</v>
      </c>
      <c r="CK23" s="29">
        <f t="shared" si="24"/>
        <v>0</v>
      </c>
      <c r="CL23" s="29">
        <f t="shared" si="25"/>
        <v>6.5790252779309236E-5</v>
      </c>
      <c r="CM23" s="29">
        <f t="shared" si="26"/>
        <v>1.8971558390378198</v>
      </c>
      <c r="CO23" s="29">
        <f t="shared" si="27"/>
        <v>0.84319935692463011</v>
      </c>
      <c r="CQ23" s="29">
        <f t="shared" ref="CQ23:CR25" si="108">2*CB23</f>
        <v>1.8508655126498004</v>
      </c>
      <c r="CR23" s="29">
        <f t="shared" si="108"/>
        <v>5.5068836045056319E-3</v>
      </c>
      <c r="CS23" s="29">
        <f t="shared" si="29"/>
        <v>9.062377402903099E-2</v>
      </c>
      <c r="CT23" s="29">
        <f t="shared" ref="CT23:CV25" si="109">CE23</f>
        <v>0.1106471816283925</v>
      </c>
      <c r="CU23" s="29">
        <f t="shared" si="109"/>
        <v>1.8325345362277983E-3</v>
      </c>
      <c r="CV23" s="29">
        <f t="shared" si="109"/>
        <v>0.79156327543424321</v>
      </c>
      <c r="CW23" s="29">
        <f t="shared" ref="CW23:CY29" si="110">CH23</f>
        <v>3.3523537803138374E-2</v>
      </c>
      <c r="CX23" s="29">
        <f t="shared" si="110"/>
        <v>1.1293965795417878E-3</v>
      </c>
      <c r="CY23" s="29">
        <f t="shared" si="110"/>
        <v>0</v>
      </c>
      <c r="CZ23" s="29">
        <f t="shared" si="104"/>
        <v>0</v>
      </c>
      <c r="DA23" s="29">
        <f t="shared" si="31"/>
        <v>1.9737075833792771E-4</v>
      </c>
      <c r="DB23" s="29">
        <f t="shared" si="32"/>
        <v>2.8858894670232189</v>
      </c>
      <c r="DC23" s="29">
        <f t="shared" si="33"/>
        <v>2.0790817072384171</v>
      </c>
      <c r="DD23" s="29">
        <f t="shared" si="34"/>
        <v>1.9240503149543275</v>
      </c>
      <c r="DE23" s="29">
        <f t="shared" si="35"/>
        <v>5.724630483009409E-3</v>
      </c>
      <c r="DF23" s="29">
        <f t="shared" si="36"/>
        <v>0.12560948721644419</v>
      </c>
      <c r="DG23" s="29">
        <f t="shared" si="37"/>
        <v>1.929774945437337</v>
      </c>
      <c r="DH23" s="29">
        <f t="shared" si="38"/>
        <v>7.5949685045672455E-2</v>
      </c>
      <c r="DI23" s="29">
        <f t="shared" si="39"/>
        <v>4.9659802170771733E-2</v>
      </c>
      <c r="DJ23" s="29">
        <f t="shared" si="40"/>
        <v>0.23004453128107749</v>
      </c>
      <c r="DK23" s="29">
        <f t="shared" si="41"/>
        <v>3.8099890321538518E-3</v>
      </c>
      <c r="DL23" s="29">
        <f t="shared" si="42"/>
        <v>1.6457247260770598</v>
      </c>
      <c r="DM23" s="29">
        <f t="shared" si="43"/>
        <v>6.9698174208420546E-2</v>
      </c>
      <c r="DN23" s="29">
        <f t="shared" si="44"/>
        <v>4.6962155374859378E-3</v>
      </c>
      <c r="DO23" s="29">
        <f t="shared" si="45"/>
        <v>0</v>
      </c>
      <c r="DP23" s="29">
        <f t="shared" si="46"/>
        <v>0</v>
      </c>
      <c r="DQ23" s="29">
        <f t="shared" si="47"/>
        <v>2.7356662213610651E-4</v>
      </c>
      <c r="DR23" s="31">
        <f t="shared" si="48"/>
        <v>4.0096316354121146</v>
      </c>
      <c r="DT23" s="29">
        <f t="shared" si="49"/>
        <v>4.6962155374859378E-3</v>
      </c>
      <c r="DU23" s="29">
        <f t="shared" si="50"/>
        <v>5.724630483009409E-3</v>
      </c>
      <c r="DV23" s="29">
        <f t="shared" si="51"/>
        <v>2.7356662213610651E-4</v>
      </c>
      <c r="DW23" s="31">
        <f t="shared" si="52"/>
        <v>4.4690020011149689E-2</v>
      </c>
      <c r="DX23" s="29">
        <f t="shared" si="53"/>
        <v>6.9698174208420546E-2</v>
      </c>
      <c r="DY23" s="29">
        <f t="shared" si="54"/>
        <v>0.8797332108438557</v>
      </c>
      <c r="DZ23" s="29">
        <f t="shared" si="55"/>
        <v>1.0048158177060573</v>
      </c>
      <c r="EA23" s="29">
        <f t="shared" si="56"/>
        <v>3.8389839571314965</v>
      </c>
      <c r="EB23" s="29">
        <f t="shared" si="57"/>
        <v>3.1516710702304302</v>
      </c>
      <c r="EE23" s="29">
        <f t="shared" si="58"/>
        <v>0.44385868423001146</v>
      </c>
      <c r="EF23" s="29">
        <f t="shared" si="59"/>
        <v>0.39378861575801699</v>
      </c>
      <c r="EG23" s="29">
        <f t="shared" si="60"/>
        <v>-0.52235732046216687</v>
      </c>
      <c r="EH23" s="29">
        <f t="shared" si="61"/>
        <v>1.9897987404085642</v>
      </c>
      <c r="EI23" s="29">
        <f t="shared" si="100"/>
        <v>16862.232993360918</v>
      </c>
      <c r="EJ23" s="29">
        <f t="shared" si="101"/>
        <v>9.5897965109505545</v>
      </c>
      <c r="EK23" s="29">
        <f t="shared" si="102"/>
        <v>1758.3514909942035</v>
      </c>
      <c r="EL23" s="29">
        <f t="shared" si="62"/>
        <v>1433</v>
      </c>
      <c r="EM23" s="29">
        <f t="shared" si="63"/>
        <v>1477.2715303422738</v>
      </c>
      <c r="EO23" s="29">
        <f t="shared" si="64"/>
        <v>1.8305855121370205</v>
      </c>
      <c r="EP23" s="29">
        <f t="shared" si="65"/>
        <v>2.2000000000000002</v>
      </c>
      <c r="EQ23" s="31">
        <f t="shared" si="66"/>
        <v>18.374862999708821</v>
      </c>
      <c r="ER23" s="31">
        <f t="shared" si="67"/>
        <v>18.220113975211007</v>
      </c>
      <c r="ES23" s="31">
        <f t="shared" si="68"/>
        <v>21.483216540420987</v>
      </c>
      <c r="ET23" s="31">
        <f t="shared" si="69"/>
        <v>0.70850983486272323</v>
      </c>
      <c r="EU23" s="31">
        <f t="shared" si="70"/>
        <v>1480.0947282893158</v>
      </c>
    </row>
    <row r="24" spans="1:151" s="29" customFormat="1" x14ac:dyDescent="0.15">
      <c r="A24" s="29" t="s">
        <v>33</v>
      </c>
      <c r="B24" s="29">
        <v>9</v>
      </c>
      <c r="C24" s="93">
        <v>1.95</v>
      </c>
      <c r="D24" s="37">
        <v>1360</v>
      </c>
      <c r="F24" s="38">
        <v>1855</v>
      </c>
      <c r="G24" s="30">
        <v>45.3</v>
      </c>
      <c r="H24" s="30">
        <v>3.6</v>
      </c>
      <c r="I24" s="30">
        <v>14.48</v>
      </c>
      <c r="J24" s="30">
        <v>13.8</v>
      </c>
      <c r="K24" s="30">
        <v>0.15</v>
      </c>
      <c r="L24" s="30">
        <v>9.8000000000000007</v>
      </c>
      <c r="M24" s="30">
        <v>9</v>
      </c>
      <c r="N24" s="30">
        <v>2.8</v>
      </c>
      <c r="O24" s="30">
        <v>0.59</v>
      </c>
      <c r="P24" s="30">
        <v>0</v>
      </c>
      <c r="Q24" s="30">
        <v>0</v>
      </c>
      <c r="R24" s="30">
        <v>0.48</v>
      </c>
      <c r="S24" s="30">
        <v>0</v>
      </c>
      <c r="T24" s="29">
        <f t="shared" si="71"/>
        <v>100</v>
      </c>
      <c r="V24" s="30">
        <v>52.2</v>
      </c>
      <c r="W24" s="30">
        <v>0.44</v>
      </c>
      <c r="X24" s="30">
        <v>7.2</v>
      </c>
      <c r="Y24" s="30">
        <v>12.1</v>
      </c>
      <c r="Z24" s="30">
        <v>0.1</v>
      </c>
      <c r="AA24" s="30">
        <v>26.6</v>
      </c>
      <c r="AB24" s="30">
        <v>2.1</v>
      </c>
      <c r="AC24" s="30">
        <v>0.24</v>
      </c>
      <c r="AD24" s="30">
        <v>0</v>
      </c>
      <c r="AE24" s="30">
        <v>0</v>
      </c>
      <c r="AF24" s="30">
        <v>0.01</v>
      </c>
      <c r="AG24" s="30">
        <v>0</v>
      </c>
      <c r="AH24" s="29">
        <f t="shared" si="72"/>
        <v>100.98999999999998</v>
      </c>
      <c r="AJ24" s="40">
        <f t="shared" si="73"/>
        <v>1350.2303115867389</v>
      </c>
      <c r="AK24" s="41">
        <f t="shared" ca="1" si="74"/>
        <v>1347.8753068811257</v>
      </c>
      <c r="AL24" s="40">
        <f t="shared" ca="1" si="75"/>
        <v>1347.9932795039681</v>
      </c>
      <c r="AM24" s="95">
        <f t="shared" ca="1" si="76"/>
        <v>1347.8753068811257</v>
      </c>
      <c r="AN24" s="95">
        <f t="shared" ca="1" si="77"/>
        <v>1.8163301854925713</v>
      </c>
      <c r="AO24" s="91">
        <f t="shared" si="78"/>
        <v>1.7899311215469613</v>
      </c>
      <c r="AP24" s="91">
        <f t="shared" si="79"/>
        <v>1.4925127071823203</v>
      </c>
      <c r="AR24" s="40">
        <f t="shared" ca="1" si="80"/>
        <v>1.7949712540202611</v>
      </c>
      <c r="AS24" s="40">
        <f t="shared" ca="1" si="81"/>
        <v>1.816330185482989</v>
      </c>
      <c r="AT24" s="40">
        <f t="shared" ca="1" si="82"/>
        <v>1.4637741790254428</v>
      </c>
      <c r="AU24" s="64"/>
      <c r="AV24" s="71">
        <f t="shared" si="0"/>
        <v>0.32303585049580469</v>
      </c>
      <c r="AX24" s="29">
        <f t="shared" si="1"/>
        <v>0.25514203044144801</v>
      </c>
      <c r="AY24" s="29">
        <f t="shared" si="2"/>
        <v>0.78982574240552161</v>
      </c>
      <c r="AZ24" s="29">
        <f t="shared" si="83"/>
        <v>55.871360898855002</v>
      </c>
      <c r="BA24" s="29">
        <f t="shared" si="84"/>
        <v>79.672258258158109</v>
      </c>
      <c r="BB24" s="29">
        <f t="shared" si="3"/>
        <v>0.75399467376830887</v>
      </c>
      <c r="BC24" s="29">
        <f t="shared" si="4"/>
        <v>4.5056320400500623E-2</v>
      </c>
      <c r="BD24" s="29">
        <f t="shared" si="5"/>
        <v>0.28403295409964696</v>
      </c>
      <c r="BE24" s="29">
        <f t="shared" si="6"/>
        <v>0.1920668058455115</v>
      </c>
      <c r="BF24" s="29">
        <f t="shared" si="7"/>
        <v>2.11446292641669E-3</v>
      </c>
      <c r="BG24" s="29">
        <f t="shared" si="8"/>
        <v>0.24317617866004967</v>
      </c>
      <c r="BH24" s="29">
        <f t="shared" si="9"/>
        <v>0.16048502139800286</v>
      </c>
      <c r="BI24" s="29">
        <f t="shared" si="10"/>
        <v>9.0351726363343016E-2</v>
      </c>
      <c r="BJ24" s="29">
        <f t="shared" si="11"/>
        <v>1.2526539278131634E-2</v>
      </c>
      <c r="BK24" s="29">
        <f t="shared" si="12"/>
        <v>0</v>
      </c>
      <c r="BL24" s="29">
        <f t="shared" si="13"/>
        <v>0</v>
      </c>
      <c r="BM24" s="29">
        <f t="shared" si="85"/>
        <v>6.7635641164742093E-3</v>
      </c>
      <c r="BN24" s="29">
        <f t="shared" si="86"/>
        <v>1.7905682468563864</v>
      </c>
      <c r="BO24" s="29">
        <f t="shared" si="87"/>
        <v>0.42109239627814282</v>
      </c>
      <c r="BP24" s="29">
        <f t="shared" si="88"/>
        <v>2.5163140516762661E-2</v>
      </c>
      <c r="BQ24" s="29">
        <f t="shared" si="89"/>
        <v>0.15862727075514146</v>
      </c>
      <c r="BR24" s="29">
        <f t="shared" si="90"/>
        <v>0.1072658393125835</v>
      </c>
      <c r="BS24" s="29">
        <f t="shared" si="91"/>
        <v>1.1808893238942162E-3</v>
      </c>
      <c r="BT24" s="29">
        <f t="shared" si="92"/>
        <v>0.13580950018910604</v>
      </c>
      <c r="BU24" s="29">
        <f t="shared" si="93"/>
        <v>8.9627983563183702E-2</v>
      </c>
      <c r="BV24" s="29">
        <f t="shared" si="94"/>
        <v>5.0459805998441638E-2</v>
      </c>
      <c r="BW24" s="29">
        <f t="shared" si="95"/>
        <v>6.9958457602070567E-3</v>
      </c>
      <c r="BX24" s="29">
        <f t="shared" si="96"/>
        <v>0</v>
      </c>
      <c r="BY24" s="29">
        <f t="shared" si="97"/>
        <v>0</v>
      </c>
      <c r="BZ24" s="29">
        <f t="shared" si="98"/>
        <v>3.7773283025367339E-3</v>
      </c>
      <c r="CA24" s="29">
        <f t="shared" si="99"/>
        <v>1</v>
      </c>
      <c r="CB24" s="29">
        <f t="shared" si="15"/>
        <v>0.86884154460719043</v>
      </c>
      <c r="CC24" s="29">
        <f t="shared" si="16"/>
        <v>5.5068836045056319E-3</v>
      </c>
      <c r="CD24" s="29">
        <f t="shared" si="17"/>
        <v>7.0615927814829352E-2</v>
      </c>
      <c r="CE24" s="29">
        <f t="shared" si="18"/>
        <v>0.16840640222686151</v>
      </c>
      <c r="CF24" s="29">
        <f t="shared" si="19"/>
        <v>1.4096419509444602E-3</v>
      </c>
      <c r="CG24" s="29">
        <f t="shared" si="20"/>
        <v>0.6600496277915634</v>
      </c>
      <c r="CH24" s="29">
        <f t="shared" si="21"/>
        <v>3.7446504992867335E-2</v>
      </c>
      <c r="CI24" s="29">
        <f t="shared" si="22"/>
        <v>3.8722168441432721E-3</v>
      </c>
      <c r="CJ24" s="29">
        <f t="shared" si="23"/>
        <v>0</v>
      </c>
      <c r="CK24" s="29">
        <f t="shared" si="24"/>
        <v>0</v>
      </c>
      <c r="CL24" s="29">
        <f t="shared" si="25"/>
        <v>6.5790252779309236E-5</v>
      </c>
      <c r="CM24" s="29">
        <f t="shared" si="26"/>
        <v>1.8162145400856846</v>
      </c>
      <c r="CO24" s="29">
        <f t="shared" si="27"/>
        <v>0.75758908275506887</v>
      </c>
      <c r="CQ24" s="29">
        <f t="shared" si="108"/>
        <v>1.7376830892143809</v>
      </c>
      <c r="CR24" s="29">
        <f t="shared" si="108"/>
        <v>1.1013767209011264E-2</v>
      </c>
      <c r="CS24" s="29">
        <f t="shared" si="29"/>
        <v>0.21184778344448807</v>
      </c>
      <c r="CT24" s="29">
        <f t="shared" si="109"/>
        <v>0.16840640222686151</v>
      </c>
      <c r="CU24" s="29">
        <f t="shared" si="109"/>
        <v>1.4096419509444602E-3</v>
      </c>
      <c r="CV24" s="29">
        <f t="shared" si="109"/>
        <v>0.6600496277915634</v>
      </c>
      <c r="CW24" s="29">
        <f t="shared" si="110"/>
        <v>3.7446504992867335E-2</v>
      </c>
      <c r="CX24" s="29">
        <f t="shared" si="110"/>
        <v>3.8722168441432721E-3</v>
      </c>
      <c r="CY24" s="29">
        <f t="shared" si="110"/>
        <v>0</v>
      </c>
      <c r="CZ24" s="29">
        <f t="shared" si="104"/>
        <v>0</v>
      </c>
      <c r="DA24" s="29">
        <f t="shared" si="31"/>
        <v>1.9737075833792771E-4</v>
      </c>
      <c r="DB24" s="29">
        <f t="shared" si="32"/>
        <v>2.8319264044325982</v>
      </c>
      <c r="DC24" s="29">
        <f t="shared" si="33"/>
        <v>2.11869912671765</v>
      </c>
      <c r="DD24" s="29">
        <f t="shared" si="34"/>
        <v>1.8408138218152685</v>
      </c>
      <c r="DE24" s="29">
        <f t="shared" si="35"/>
        <v>1.1667429483801827E-2</v>
      </c>
      <c r="DF24" s="29">
        <f t="shared" si="36"/>
        <v>0.2992278091872711</v>
      </c>
      <c r="DG24" s="29">
        <f t="shared" si="37"/>
        <v>1.8524812512990703</v>
      </c>
      <c r="DH24" s="29">
        <f t="shared" si="38"/>
        <v>0.15918617818473146</v>
      </c>
      <c r="DI24" s="29">
        <f t="shared" si="39"/>
        <v>0.14004163100253963</v>
      </c>
      <c r="DJ24" s="29">
        <f t="shared" si="40"/>
        <v>0.35680249733171282</v>
      </c>
      <c r="DK24" s="29">
        <f t="shared" si="41"/>
        <v>2.9866071704505925E-3</v>
      </c>
      <c r="DL24" s="29">
        <f t="shared" si="42"/>
        <v>1.3984465699922952</v>
      </c>
      <c r="DM24" s="29">
        <f t="shared" si="43"/>
        <v>7.9337877427016146E-2</v>
      </c>
      <c r="DN24" s="29">
        <f t="shared" si="44"/>
        <v>1.6408124892295452E-2</v>
      </c>
      <c r="DO24" s="29">
        <f t="shared" si="45"/>
        <v>0</v>
      </c>
      <c r="DP24" s="29">
        <f t="shared" si="46"/>
        <v>0</v>
      </c>
      <c r="DQ24" s="29">
        <f t="shared" si="47"/>
        <v>2.7877950222011185E-4</v>
      </c>
      <c r="DR24" s="31">
        <f t="shared" si="48"/>
        <v>4.0059695168023319</v>
      </c>
      <c r="DT24" s="29">
        <f t="shared" si="49"/>
        <v>1.6408124892295452E-2</v>
      </c>
      <c r="DU24" s="29">
        <f t="shared" si="50"/>
        <v>1.1667429483801827E-2</v>
      </c>
      <c r="DV24" s="29">
        <f t="shared" si="51"/>
        <v>2.7877950222011185E-4</v>
      </c>
      <c r="DW24" s="31">
        <f t="shared" si="52"/>
        <v>0.12335472660802407</v>
      </c>
      <c r="DX24" s="29">
        <f t="shared" si="53"/>
        <v>7.9337877427016146E-2</v>
      </c>
      <c r="DY24" s="29">
        <f t="shared" si="54"/>
        <v>0.77193782048780824</v>
      </c>
      <c r="DZ24" s="29">
        <f t="shared" si="55"/>
        <v>1.002984758401166</v>
      </c>
      <c r="EA24" s="29">
        <f t="shared" si="56"/>
        <v>4.2900296990391658</v>
      </c>
      <c r="EB24" s="29">
        <f t="shared" si="57"/>
        <v>3.8641454448722978</v>
      </c>
      <c r="EE24" s="29">
        <f t="shared" si="58"/>
        <v>0.42109239627814282</v>
      </c>
      <c r="EF24" s="29">
        <f t="shared" si="59"/>
        <v>0.33388421238876742</v>
      </c>
      <c r="EG24" s="29">
        <f t="shared" si="60"/>
        <v>-0.78291783744935861</v>
      </c>
      <c r="EH24" s="29">
        <f t="shared" si="61"/>
        <v>2.8899358658433316</v>
      </c>
      <c r="EI24" s="29">
        <f t="shared" si="100"/>
        <v>16666.788944481865</v>
      </c>
      <c r="EJ24" s="29">
        <f t="shared" si="101"/>
        <v>10.266718664458399</v>
      </c>
      <c r="EK24" s="29">
        <f t="shared" si="102"/>
        <v>1623.380311586739</v>
      </c>
      <c r="EL24" s="29">
        <f t="shared" si="62"/>
        <v>1360</v>
      </c>
      <c r="EM24" s="29">
        <f t="shared" si="63"/>
        <v>1355.4993451276866</v>
      </c>
      <c r="EO24" s="29">
        <f t="shared" si="64"/>
        <v>1.8642983866858096</v>
      </c>
      <c r="EP24" s="29">
        <f t="shared" si="65"/>
        <v>1.95</v>
      </c>
      <c r="EQ24" s="31">
        <f t="shared" si="66"/>
        <v>15.55455471327007</v>
      </c>
      <c r="ER24" s="31">
        <f t="shared" si="67"/>
        <v>15.3960362262942</v>
      </c>
      <c r="ES24" s="31">
        <f t="shared" si="68"/>
        <v>7.6578097102604135</v>
      </c>
      <c r="ET24" s="31">
        <f t="shared" si="69"/>
        <v>0.55871360898855016</v>
      </c>
      <c r="EU24" s="31">
        <f t="shared" si="70"/>
        <v>1352.1122562582523</v>
      </c>
    </row>
    <row r="25" spans="1:151" s="29" customFormat="1" x14ac:dyDescent="0.15">
      <c r="A25" s="29" t="s">
        <v>34</v>
      </c>
      <c r="B25" s="29">
        <v>30.14</v>
      </c>
      <c r="C25" s="93">
        <v>3</v>
      </c>
      <c r="D25" s="37">
        <v>1540</v>
      </c>
      <c r="F25" s="38">
        <v>50006</v>
      </c>
      <c r="G25" s="30">
        <v>46.91</v>
      </c>
      <c r="H25" s="30">
        <v>0.64</v>
      </c>
      <c r="I25" s="30">
        <v>12.46</v>
      </c>
      <c r="J25" s="30">
        <v>8.86</v>
      </c>
      <c r="K25" s="30">
        <v>0.17</v>
      </c>
      <c r="L25" s="30">
        <v>18.22</v>
      </c>
      <c r="M25" s="30">
        <v>10.86</v>
      </c>
      <c r="N25" s="30">
        <v>0.82</v>
      </c>
      <c r="O25" s="30">
        <v>0.34</v>
      </c>
      <c r="P25" s="30">
        <v>0</v>
      </c>
      <c r="Q25" s="30">
        <v>0.43</v>
      </c>
      <c r="R25" s="30">
        <v>0</v>
      </c>
      <c r="S25" s="30">
        <v>0</v>
      </c>
      <c r="T25" s="29">
        <f t="shared" si="71"/>
        <v>99.710000000000008</v>
      </c>
      <c r="V25" s="30">
        <v>53.22</v>
      </c>
      <c r="W25" s="30">
        <v>7.0000000000000007E-2</v>
      </c>
      <c r="X25" s="30">
        <v>5.28</v>
      </c>
      <c r="Y25" s="30">
        <v>5.13</v>
      </c>
      <c r="Z25" s="30">
        <v>0.13</v>
      </c>
      <c r="AA25" s="30">
        <v>31.79</v>
      </c>
      <c r="AB25" s="30">
        <v>2.56</v>
      </c>
      <c r="AC25" s="30">
        <v>0.13</v>
      </c>
      <c r="AD25" s="30">
        <v>0</v>
      </c>
      <c r="AE25" s="30">
        <v>0</v>
      </c>
      <c r="AF25" s="30">
        <v>0.87</v>
      </c>
      <c r="AG25" s="30">
        <v>0</v>
      </c>
      <c r="AH25" s="29">
        <f t="shared" si="72"/>
        <v>99.18</v>
      </c>
      <c r="AJ25" s="40">
        <f t="shared" si="73"/>
        <v>1554.2525240547116</v>
      </c>
      <c r="AK25" s="41">
        <f t="shared" ca="1" si="74"/>
        <v>1502.6052682988873</v>
      </c>
      <c r="AL25" s="40">
        <f t="shared" ca="1" si="75"/>
        <v>1500.3370605367418</v>
      </c>
      <c r="AM25" s="95">
        <f t="shared" ca="1" si="76"/>
        <v>1502.6052682988873</v>
      </c>
      <c r="AN25" s="95">
        <f t="shared" ca="1" si="77"/>
        <v>2.1229210605610795</v>
      </c>
      <c r="AO25" s="91">
        <f t="shared" si="78"/>
        <v>2.1574721219903692</v>
      </c>
      <c r="AP25" s="91">
        <f t="shared" si="79"/>
        <v>1.2587678972712679</v>
      </c>
      <c r="AR25" s="40">
        <f t="shared" ca="1" si="80"/>
        <v>1.9879087451374899</v>
      </c>
      <c r="AS25" s="40">
        <f t="shared" ca="1" si="81"/>
        <v>2.1229210605610809</v>
      </c>
      <c r="AT25" s="40">
        <f t="shared" ca="1" si="82"/>
        <v>2.6586890493950941</v>
      </c>
      <c r="AU25" s="64"/>
      <c r="AV25" s="71">
        <f t="shared" si="0"/>
        <v>0.331849744762646</v>
      </c>
      <c r="AX25" s="29">
        <f t="shared" si="1"/>
        <v>9.051178105797375E-2</v>
      </c>
      <c r="AY25" s="29">
        <f t="shared" si="2"/>
        <v>0.27274928634557755</v>
      </c>
      <c r="AZ25" s="29">
        <f t="shared" si="83"/>
        <v>78.570069590946872</v>
      </c>
      <c r="BA25" s="29">
        <f t="shared" si="84"/>
        <v>91.700063893838674</v>
      </c>
      <c r="BB25" s="29">
        <f t="shared" si="3"/>
        <v>0.78079227696404785</v>
      </c>
      <c r="BC25" s="29">
        <f t="shared" si="4"/>
        <v>8.0100125156445552E-3</v>
      </c>
      <c r="BD25" s="29">
        <f t="shared" si="5"/>
        <v>0.24440957238132605</v>
      </c>
      <c r="BE25" s="29">
        <f t="shared" si="6"/>
        <v>0.12331245650661099</v>
      </c>
      <c r="BF25" s="29">
        <f t="shared" si="7"/>
        <v>2.3963913166055823E-3</v>
      </c>
      <c r="BG25" s="29">
        <f t="shared" si="8"/>
        <v>0.45210918114143922</v>
      </c>
      <c r="BH25" s="29">
        <f t="shared" si="9"/>
        <v>0.19365192582025678</v>
      </c>
      <c r="BI25" s="29">
        <f t="shared" si="10"/>
        <v>2.6460148434979024E-2</v>
      </c>
      <c r="BJ25" s="29">
        <f t="shared" si="11"/>
        <v>7.218683651804671E-3</v>
      </c>
      <c r="BK25" s="29">
        <f t="shared" si="12"/>
        <v>0</v>
      </c>
      <c r="BL25" s="29">
        <f t="shared" si="13"/>
        <v>5.6579617390205934E-3</v>
      </c>
      <c r="BM25" s="29">
        <f t="shared" si="85"/>
        <v>0</v>
      </c>
      <c r="BN25" s="29">
        <f t="shared" si="86"/>
        <v>1.8440186104717355</v>
      </c>
      <c r="BO25" s="29">
        <f t="shared" si="87"/>
        <v>0.42341887035744508</v>
      </c>
      <c r="BP25" s="29">
        <f t="shared" si="88"/>
        <v>4.343780735268957E-3</v>
      </c>
      <c r="BQ25" s="29">
        <f t="shared" si="89"/>
        <v>0.13254181437941201</v>
      </c>
      <c r="BR25" s="29">
        <f t="shared" si="90"/>
        <v>6.6871590018858479E-2</v>
      </c>
      <c r="BS25" s="29">
        <f t="shared" si="91"/>
        <v>1.2995483358991368E-3</v>
      </c>
      <c r="BT25" s="29">
        <f t="shared" si="92"/>
        <v>0.24517604029266329</v>
      </c>
      <c r="BU25" s="29">
        <f t="shared" si="93"/>
        <v>0.10501625348060717</v>
      </c>
      <c r="BV25" s="29">
        <f t="shared" si="94"/>
        <v>1.4349176458804831E-2</v>
      </c>
      <c r="BW25" s="29">
        <f t="shared" si="95"/>
        <v>3.9146479383730254E-3</v>
      </c>
      <c r="BX25" s="29">
        <f t="shared" si="96"/>
        <v>0</v>
      </c>
      <c r="BY25" s="29">
        <f t="shared" si="97"/>
        <v>3.0682780026678675E-3</v>
      </c>
      <c r="BZ25" s="29">
        <f t="shared" si="98"/>
        <v>0</v>
      </c>
      <c r="CA25" s="29">
        <f t="shared" si="99"/>
        <v>0.99999999999999989</v>
      </c>
      <c r="CB25" s="29">
        <f t="shared" si="15"/>
        <v>0.8858189081225033</v>
      </c>
      <c r="CC25" s="29">
        <f t="shared" si="16"/>
        <v>8.7609511889862328E-4</v>
      </c>
      <c r="CD25" s="29">
        <f t="shared" si="17"/>
        <v>5.1785013730874858E-2</v>
      </c>
      <c r="CE25" s="29">
        <f t="shared" si="18"/>
        <v>7.1398747390396658E-2</v>
      </c>
      <c r="CF25" s="29">
        <f t="shared" si="19"/>
        <v>1.8325345362277983E-3</v>
      </c>
      <c r="CG25" s="29">
        <f t="shared" si="20"/>
        <v>0.78883374689826302</v>
      </c>
      <c r="CH25" s="29">
        <f t="shared" si="21"/>
        <v>4.5649072753209702E-2</v>
      </c>
      <c r="CI25" s="29">
        <f t="shared" si="22"/>
        <v>2.0974507905776058E-3</v>
      </c>
      <c r="CJ25" s="29">
        <f t="shared" si="23"/>
        <v>0</v>
      </c>
      <c r="CK25" s="29">
        <f t="shared" si="24"/>
        <v>0</v>
      </c>
      <c r="CL25" s="29">
        <f t="shared" si="25"/>
        <v>5.7237519917999026E-3</v>
      </c>
      <c r="CM25" s="29">
        <f t="shared" si="26"/>
        <v>1.8540153213327515</v>
      </c>
      <c r="CO25" s="29">
        <f t="shared" si="27"/>
        <v>0.86160931549142605</v>
      </c>
      <c r="CQ25" s="29">
        <f t="shared" si="108"/>
        <v>1.7716378162450066</v>
      </c>
      <c r="CR25" s="29">
        <f t="shared" si="108"/>
        <v>1.7521902377972466E-3</v>
      </c>
      <c r="CS25" s="29">
        <f t="shared" si="29"/>
        <v>0.15535504119262458</v>
      </c>
      <c r="CT25" s="29">
        <f t="shared" si="109"/>
        <v>7.1398747390396658E-2</v>
      </c>
      <c r="CU25" s="29">
        <f t="shared" si="109"/>
        <v>1.8325345362277983E-3</v>
      </c>
      <c r="CV25" s="29">
        <f t="shared" si="109"/>
        <v>0.78883374689826302</v>
      </c>
      <c r="CW25" s="29">
        <f t="shared" si="110"/>
        <v>4.5649072753209702E-2</v>
      </c>
      <c r="CX25" s="29">
        <f t="shared" si="110"/>
        <v>2.0974507905776058E-3</v>
      </c>
      <c r="CY25" s="29">
        <f t="shared" si="110"/>
        <v>0</v>
      </c>
      <c r="CZ25" s="29">
        <f t="shared" si="104"/>
        <v>0</v>
      </c>
      <c r="DA25" s="29">
        <f t="shared" si="31"/>
        <v>1.7171255975399709E-2</v>
      </c>
      <c r="DB25" s="29">
        <f t="shared" si="32"/>
        <v>2.8557278560195036</v>
      </c>
      <c r="DC25" s="29">
        <f t="shared" si="33"/>
        <v>2.1010405411540805</v>
      </c>
      <c r="DD25" s="29">
        <f t="shared" si="34"/>
        <v>1.861141438086221</v>
      </c>
      <c r="DE25" s="29">
        <f t="shared" si="35"/>
        <v>1.840711362713212E-3</v>
      </c>
      <c r="DF25" s="29">
        <f t="shared" si="36"/>
        <v>0.21760482654557761</v>
      </c>
      <c r="DG25" s="29">
        <f t="shared" si="37"/>
        <v>1.8629821494489343</v>
      </c>
      <c r="DH25" s="29">
        <f t="shared" si="38"/>
        <v>0.13885856191377899</v>
      </c>
      <c r="DI25" s="29">
        <f t="shared" si="39"/>
        <v>7.8746264631798624E-2</v>
      </c>
      <c r="DJ25" s="29">
        <f t="shared" si="40"/>
        <v>0.15001166285484249</v>
      </c>
      <c r="DK25" s="29">
        <f t="shared" si="41"/>
        <v>3.8502293536795953E-3</v>
      </c>
      <c r="DL25" s="29">
        <f t="shared" si="42"/>
        <v>1.6573716824637275</v>
      </c>
      <c r="DM25" s="29">
        <f t="shared" si="43"/>
        <v>9.5910552520585696E-2</v>
      </c>
      <c r="DN25" s="29">
        <f t="shared" si="44"/>
        <v>8.813658288158454E-3</v>
      </c>
      <c r="DO25" s="29">
        <f t="shared" si="45"/>
        <v>0</v>
      </c>
      <c r="DP25" s="29">
        <f t="shared" si="46"/>
        <v>0</v>
      </c>
      <c r="DQ25" s="29">
        <f t="shared" si="47"/>
        <v>2.4051669964566025E-2</v>
      </c>
      <c r="DR25" s="31">
        <f t="shared" si="48"/>
        <v>4.0205964314400715</v>
      </c>
      <c r="DT25" s="29">
        <f t="shared" si="49"/>
        <v>8.813658288158454E-3</v>
      </c>
      <c r="DU25" s="29">
        <f t="shared" si="50"/>
        <v>1.840711362713212E-3</v>
      </c>
      <c r="DV25" s="29">
        <f t="shared" si="51"/>
        <v>2.4051669964566025E-2</v>
      </c>
      <c r="DW25" s="31">
        <f t="shared" si="52"/>
        <v>4.5880936379074144E-2</v>
      </c>
      <c r="DX25" s="29">
        <f t="shared" si="53"/>
        <v>9.5910552520585696E-2</v>
      </c>
      <c r="DY25" s="29">
        <f t="shared" si="54"/>
        <v>0.83380068720493816</v>
      </c>
      <c r="DZ25" s="29">
        <f t="shared" si="55"/>
        <v>1.0102982157200358</v>
      </c>
      <c r="EA25" s="29">
        <f t="shared" si="56"/>
        <v>3.8579128283196011</v>
      </c>
      <c r="EB25" s="29">
        <f t="shared" si="57"/>
        <v>2.9798454874524629</v>
      </c>
      <c r="EE25" s="29">
        <f t="shared" si="58"/>
        <v>0.42341887035744508</v>
      </c>
      <c r="EF25" s="29">
        <f t="shared" si="59"/>
        <v>0.41836343212802807</v>
      </c>
      <c r="EG25" s="29">
        <f t="shared" si="60"/>
        <v>-0.52813058919957856</v>
      </c>
      <c r="EH25" s="29">
        <f t="shared" si="61"/>
        <v>1.8488270583146424</v>
      </c>
      <c r="EI25" s="29">
        <f t="shared" si="100"/>
        <v>17487.653949773889</v>
      </c>
      <c r="EJ25" s="29">
        <f t="shared" si="101"/>
        <v>9.5696781193951761</v>
      </c>
      <c r="EK25" s="29">
        <f t="shared" si="102"/>
        <v>1827.4025240547114</v>
      </c>
      <c r="EL25" s="29">
        <f t="shared" si="62"/>
        <v>1540</v>
      </c>
      <c r="EM25" s="29">
        <f t="shared" si="63"/>
        <v>1570.144911249427</v>
      </c>
      <c r="EO25" s="29">
        <f t="shared" si="64"/>
        <v>2.2738812633353267</v>
      </c>
      <c r="EP25" s="29">
        <f t="shared" si="65"/>
        <v>3</v>
      </c>
      <c r="EQ25" s="31">
        <f t="shared" si="66"/>
        <v>30.249151092889644</v>
      </c>
      <c r="ER25" s="31">
        <f t="shared" si="67"/>
        <v>30.126529865025077</v>
      </c>
      <c r="ES25" s="31">
        <f t="shared" si="68"/>
        <v>20.841769660552483</v>
      </c>
      <c r="ET25" s="31">
        <f t="shared" si="69"/>
        <v>0.78570069590946878</v>
      </c>
      <c r="EU25" s="31">
        <f t="shared" si="70"/>
        <v>1508.3954367219837</v>
      </c>
    </row>
    <row r="26" spans="1:151" s="29" customFormat="1" x14ac:dyDescent="0.15">
      <c r="A26" s="29" t="s">
        <v>42</v>
      </c>
      <c r="B26" s="29" t="s">
        <v>28</v>
      </c>
      <c r="C26" s="93">
        <v>2</v>
      </c>
      <c r="D26" s="37">
        <v>1275</v>
      </c>
      <c r="F26" s="38">
        <v>4590</v>
      </c>
      <c r="G26" s="30">
        <v>43.6</v>
      </c>
      <c r="H26" s="30">
        <v>0.65</v>
      </c>
      <c r="I26" s="30">
        <v>15.03</v>
      </c>
      <c r="J26" s="30">
        <v>7.74</v>
      </c>
      <c r="K26" s="30">
        <v>0.11</v>
      </c>
      <c r="L26" s="30">
        <v>12.7</v>
      </c>
      <c r="M26" s="30">
        <v>9.84</v>
      </c>
      <c r="N26" s="30">
        <v>2.41</v>
      </c>
      <c r="O26" s="30">
        <v>0.12</v>
      </c>
      <c r="P26" s="30">
        <v>0</v>
      </c>
      <c r="Q26" s="30">
        <v>7.0000000000000007E-2</v>
      </c>
      <c r="R26" s="30">
        <v>0.21</v>
      </c>
      <c r="S26" s="30">
        <v>6.8</v>
      </c>
      <c r="T26" s="29">
        <f t="shared" si="71"/>
        <v>92.47999999999999</v>
      </c>
      <c r="V26" s="30">
        <v>55.9</v>
      </c>
      <c r="W26" s="30">
        <v>0.09</v>
      </c>
      <c r="X26" s="30">
        <v>4.7</v>
      </c>
      <c r="Y26" s="30">
        <v>6.24</v>
      </c>
      <c r="Z26" s="30">
        <v>7.0000000000000007E-2</v>
      </c>
      <c r="AA26" s="30">
        <v>32.200000000000003</v>
      </c>
      <c r="AB26" s="30">
        <v>1.65</v>
      </c>
      <c r="AC26" s="30">
        <v>0.09</v>
      </c>
      <c r="AD26" s="30">
        <v>0</v>
      </c>
      <c r="AE26" s="30">
        <v>0</v>
      </c>
      <c r="AF26" s="30">
        <v>0.21</v>
      </c>
      <c r="AG26" s="30">
        <v>0</v>
      </c>
      <c r="AH26" s="29">
        <f t="shared" si="72"/>
        <v>101.15</v>
      </c>
      <c r="AJ26" s="40">
        <f t="shared" si="73"/>
        <v>1413.135835403727</v>
      </c>
      <c r="AK26" s="41">
        <f t="shared" ca="1" si="74"/>
        <v>1223.5832843504254</v>
      </c>
      <c r="AL26" s="40">
        <f t="shared" ca="1" si="75"/>
        <v>1235.2101258385824</v>
      </c>
      <c r="AM26" s="95">
        <f t="shared" ca="1" si="76"/>
        <v>1223.5832843504254</v>
      </c>
      <c r="AN26" s="95">
        <f t="shared" ca="1" si="77"/>
        <v>1.4024586727090429</v>
      </c>
      <c r="AO26" s="91">
        <f t="shared" si="78"/>
        <v>1.3922789840319365</v>
      </c>
      <c r="AP26" s="91">
        <f t="shared" si="79"/>
        <v>0.90552388556220897</v>
      </c>
      <c r="AR26" s="40">
        <f t="shared" ca="1" si="80"/>
        <v>1.8067465555007522</v>
      </c>
      <c r="AS26" s="40">
        <f t="shared" ca="1" si="81"/>
        <v>1.4024586727088846</v>
      </c>
      <c r="AT26" s="40">
        <f t="shared" ca="1" si="82"/>
        <v>1.0998757782579869</v>
      </c>
      <c r="AU26" s="64"/>
      <c r="AV26" s="71">
        <f t="shared" si="0"/>
        <v>0.31797390341374165</v>
      </c>
      <c r="AX26" s="29">
        <f t="shared" si="1"/>
        <v>0.1086943554766011</v>
      </c>
      <c r="AY26" s="29">
        <f t="shared" si="2"/>
        <v>0.34183420183124291</v>
      </c>
      <c r="AZ26" s="29">
        <f t="shared" si="83"/>
        <v>74.524855502659619</v>
      </c>
      <c r="BA26" s="29">
        <f t="shared" si="84"/>
        <v>90.196183922134608</v>
      </c>
      <c r="BB26" s="29">
        <f t="shared" si="3"/>
        <v>0.72569906790945415</v>
      </c>
      <c r="BC26" s="29">
        <f t="shared" si="4"/>
        <v>8.135168961201502E-3</v>
      </c>
      <c r="BD26" s="29">
        <f t="shared" si="5"/>
        <v>0.29482149862691254</v>
      </c>
      <c r="BE26" s="29">
        <f t="shared" si="6"/>
        <v>0.10772442588726515</v>
      </c>
      <c r="BF26" s="29">
        <f t="shared" si="7"/>
        <v>1.5506061460389062E-3</v>
      </c>
      <c r="BG26" s="29">
        <f t="shared" si="8"/>
        <v>0.31513647642679904</v>
      </c>
      <c r="BH26" s="29">
        <f t="shared" si="9"/>
        <v>0.17546362339514979</v>
      </c>
      <c r="BI26" s="29">
        <f t="shared" si="10"/>
        <v>7.7767021619877391E-2</v>
      </c>
      <c r="BJ26" s="29">
        <f t="shared" si="11"/>
        <v>2.5477707006369425E-3</v>
      </c>
      <c r="BK26" s="29">
        <f t="shared" si="12"/>
        <v>0</v>
      </c>
      <c r="BL26" s="29">
        <f t="shared" si="13"/>
        <v>9.210635389103293E-4</v>
      </c>
      <c r="BM26" s="29">
        <f t="shared" si="85"/>
        <v>2.9590593009574668E-3</v>
      </c>
      <c r="BN26" s="29">
        <f t="shared" si="86"/>
        <v>1.7127257825132032</v>
      </c>
      <c r="BO26" s="29">
        <f t="shared" si="87"/>
        <v>0.42371001553125731</v>
      </c>
      <c r="BP26" s="29">
        <f t="shared" si="88"/>
        <v>4.7498373903522347E-3</v>
      </c>
      <c r="BQ26" s="29">
        <f t="shared" si="89"/>
        <v>0.17213584429978054</v>
      </c>
      <c r="BR26" s="29">
        <f t="shared" si="90"/>
        <v>6.289648172937147E-2</v>
      </c>
      <c r="BS26" s="29">
        <f t="shared" si="91"/>
        <v>9.0534407893573749E-4</v>
      </c>
      <c r="BT26" s="29">
        <f t="shared" si="92"/>
        <v>0.18399704123352256</v>
      </c>
      <c r="BU26" s="29">
        <f t="shared" si="93"/>
        <v>0.10244700300924976</v>
      </c>
      <c r="BV26" s="29">
        <f t="shared" si="94"/>
        <v>4.5405413063709689E-2</v>
      </c>
      <c r="BW26" s="29">
        <f t="shared" si="95"/>
        <v>1.4875531895703813E-3</v>
      </c>
      <c r="BX26" s="29">
        <f t="shared" si="96"/>
        <v>0</v>
      </c>
      <c r="BY26" s="29">
        <f t="shared" si="97"/>
        <v>5.3777641950294454E-4</v>
      </c>
      <c r="BZ26" s="29">
        <f t="shared" si="98"/>
        <v>1.7276900547473692E-3</v>
      </c>
      <c r="CA26" s="29">
        <f t="shared" si="99"/>
        <v>1</v>
      </c>
      <c r="CB26" s="29">
        <f t="shared" si="15"/>
        <v>0.93042609853528624</v>
      </c>
      <c r="CC26" s="29">
        <f t="shared" si="16"/>
        <v>1.1264080100125155E-3</v>
      </c>
      <c r="CD26" s="29">
        <f t="shared" si="17"/>
        <v>4.6096508434680272E-2</v>
      </c>
      <c r="CE26" s="29">
        <f t="shared" si="18"/>
        <v>8.6847599164926945E-2</v>
      </c>
      <c r="CF26" s="29">
        <f t="shared" si="19"/>
        <v>9.8674936566112213E-4</v>
      </c>
      <c r="CG26" s="29">
        <f t="shared" si="20"/>
        <v>0.79900744416873459</v>
      </c>
      <c r="CH26" s="29">
        <f t="shared" si="21"/>
        <v>2.9422253922967188E-2</v>
      </c>
      <c r="CI26" s="29">
        <f t="shared" si="22"/>
        <v>1.4520813165537271E-3</v>
      </c>
      <c r="CJ26" s="29">
        <f t="shared" si="23"/>
        <v>0</v>
      </c>
      <c r="CK26" s="29">
        <f t="shared" si="24"/>
        <v>0</v>
      </c>
      <c r="CL26" s="29">
        <f t="shared" si="25"/>
        <v>1.3815953083654937E-3</v>
      </c>
      <c r="CM26" s="29">
        <f t="shared" si="26"/>
        <v>1.8967467382271881</v>
      </c>
      <c r="CO26" s="29">
        <f t="shared" si="27"/>
        <v>0.86933894400892364</v>
      </c>
      <c r="CQ26" s="29">
        <f t="shared" ref="CQ26:CR29" si="111">2*CB26</f>
        <v>1.8608521970705725</v>
      </c>
      <c r="CR26" s="29">
        <f t="shared" si="111"/>
        <v>2.252816020025031E-3</v>
      </c>
      <c r="CS26" s="29">
        <f t="shared" si="29"/>
        <v>0.13828952530404082</v>
      </c>
      <c r="CT26" s="29">
        <f t="shared" ref="CT26:CV29" si="112">CE26</f>
        <v>8.6847599164926945E-2</v>
      </c>
      <c r="CU26" s="29">
        <f t="shared" si="112"/>
        <v>9.8674936566112213E-4</v>
      </c>
      <c r="CV26" s="29">
        <f t="shared" si="112"/>
        <v>0.79900744416873459</v>
      </c>
      <c r="CW26" s="29">
        <f t="shared" si="110"/>
        <v>2.9422253922967188E-2</v>
      </c>
      <c r="CX26" s="29">
        <f t="shared" si="110"/>
        <v>1.4520813165537271E-3</v>
      </c>
      <c r="CY26" s="29">
        <f t="shared" si="110"/>
        <v>0</v>
      </c>
      <c r="CZ26" s="29">
        <f t="shared" si="104"/>
        <v>0</v>
      </c>
      <c r="DA26" s="29">
        <f t="shared" si="31"/>
        <v>4.144785925096481E-3</v>
      </c>
      <c r="DB26" s="29">
        <f t="shared" si="32"/>
        <v>2.9232554522585792</v>
      </c>
      <c r="DC26" s="29">
        <f t="shared" si="33"/>
        <v>2.0525062205440348</v>
      </c>
      <c r="DD26" s="29">
        <f t="shared" si="34"/>
        <v>1.9097053550001921</v>
      </c>
      <c r="DE26" s="29">
        <f t="shared" si="35"/>
        <v>2.3119594474213154E-3</v>
      </c>
      <c r="DF26" s="29">
        <f t="shared" si="36"/>
        <v>0.18922674061508366</v>
      </c>
      <c r="DG26" s="29">
        <f t="shared" si="37"/>
        <v>1.9120173144476134</v>
      </c>
      <c r="DH26" s="29">
        <f t="shared" si="38"/>
        <v>9.0294644999807883E-2</v>
      </c>
      <c r="DI26" s="29">
        <f t="shared" si="39"/>
        <v>9.8932095615275772E-2</v>
      </c>
      <c r="DJ26" s="29">
        <f t="shared" si="40"/>
        <v>0.17825523752532746</v>
      </c>
      <c r="DK26" s="29">
        <f t="shared" si="41"/>
        <v>2.0253092111373336E-3</v>
      </c>
      <c r="DL26" s="29">
        <f t="shared" si="42"/>
        <v>1.6399677494173184</v>
      </c>
      <c r="DM26" s="29">
        <f t="shared" si="43"/>
        <v>6.0389359199316282E-2</v>
      </c>
      <c r="DN26" s="29">
        <f t="shared" si="44"/>
        <v>5.9608118699245932E-3</v>
      </c>
      <c r="DO26" s="29">
        <f t="shared" si="45"/>
        <v>0</v>
      </c>
      <c r="DP26" s="29">
        <f t="shared" si="46"/>
        <v>0</v>
      </c>
      <c r="DQ26" s="29">
        <f t="shared" si="47"/>
        <v>5.6714659293892597E-3</v>
      </c>
      <c r="DR26" s="31">
        <f t="shared" si="48"/>
        <v>3.9935139882151103</v>
      </c>
      <c r="DT26" s="29">
        <f t="shared" si="49"/>
        <v>5.9608118699245932E-3</v>
      </c>
      <c r="DU26" s="29">
        <f t="shared" si="50"/>
        <v>2.3119594474213154E-3</v>
      </c>
      <c r="DV26" s="29">
        <f t="shared" si="51"/>
        <v>5.6714659293892597E-3</v>
      </c>
      <c r="DW26" s="31">
        <f t="shared" si="52"/>
        <v>8.7299817815961925E-2</v>
      </c>
      <c r="DX26" s="29">
        <f t="shared" si="53"/>
        <v>6.0389359199316282E-2</v>
      </c>
      <c r="DY26" s="29">
        <f t="shared" si="54"/>
        <v>0.83512357984554186</v>
      </c>
      <c r="DZ26" s="29">
        <f t="shared" si="55"/>
        <v>0.99675699410755525</v>
      </c>
      <c r="EA26" s="29">
        <f t="shared" si="56"/>
        <v>4.3275121651973461</v>
      </c>
      <c r="EB26" s="29">
        <f t="shared" si="57"/>
        <v>3.3343796051202625</v>
      </c>
      <c r="EE26" s="29">
        <f t="shared" si="58"/>
        <v>0.42371001553125731</v>
      </c>
      <c r="EF26" s="29">
        <f t="shared" si="59"/>
        <v>0.35024587005107949</v>
      </c>
      <c r="EG26" s="29">
        <f t="shared" si="60"/>
        <v>-0.69449978028439552</v>
      </c>
      <c r="EH26" s="29">
        <f t="shared" si="61"/>
        <v>2.4053528682838885</v>
      </c>
      <c r="EI26" s="29">
        <f t="shared" si="100"/>
        <v>16705.877754257675</v>
      </c>
      <c r="EJ26" s="29">
        <f t="shared" si="101"/>
        <v>9.9069074788604805</v>
      </c>
      <c r="EK26" s="29">
        <f t="shared" si="102"/>
        <v>1686.2858354037269</v>
      </c>
      <c r="EL26" s="29">
        <f t="shared" si="62"/>
        <v>1275</v>
      </c>
      <c r="EM26" s="29">
        <f t="shared" si="63"/>
        <v>1253.1819917418388</v>
      </c>
      <c r="EO26" s="29">
        <f t="shared" si="64"/>
        <v>1.6136740677849684</v>
      </c>
      <c r="EP26" s="29">
        <f t="shared" si="65"/>
        <v>2</v>
      </c>
      <c r="EQ26" s="31">
        <f t="shared" si="66"/>
        <v>13.4683187911863</v>
      </c>
      <c r="ER26" s="31">
        <f t="shared" si="67"/>
        <v>13.321020622140622</v>
      </c>
      <c r="ES26" s="31">
        <f t="shared" si="68"/>
        <v>8.0840486659821753</v>
      </c>
      <c r="ET26" s="31">
        <f t="shared" si="69"/>
        <v>0.74524855502659637</v>
      </c>
      <c r="EU26" s="31">
        <f t="shared" si="70"/>
        <v>1256.8740779749658</v>
      </c>
    </row>
    <row r="27" spans="1:151" s="29" customFormat="1" x14ac:dyDescent="0.15">
      <c r="A27" s="29" t="s">
        <v>42</v>
      </c>
      <c r="B27" s="29" t="s">
        <v>29</v>
      </c>
      <c r="C27" s="93">
        <v>1.2</v>
      </c>
      <c r="D27" s="37">
        <v>1170</v>
      </c>
      <c r="F27" s="38">
        <v>4593</v>
      </c>
      <c r="G27" s="30">
        <v>46.2</v>
      </c>
      <c r="H27" s="30">
        <v>0.68</v>
      </c>
      <c r="I27" s="30">
        <v>18</v>
      </c>
      <c r="J27" s="30">
        <v>6.4</v>
      </c>
      <c r="K27" s="30">
        <v>0.08</v>
      </c>
      <c r="L27" s="30">
        <v>8.48</v>
      </c>
      <c r="M27" s="30">
        <v>8.82</v>
      </c>
      <c r="N27" s="30">
        <v>3</v>
      </c>
      <c r="O27" s="30">
        <v>0.44</v>
      </c>
      <c r="P27" s="30">
        <v>0</v>
      </c>
      <c r="Q27" s="30">
        <v>0.06</v>
      </c>
      <c r="R27" s="30">
        <v>0.22</v>
      </c>
      <c r="S27" s="30">
        <v>7.87</v>
      </c>
      <c r="T27" s="29">
        <f t="shared" si="71"/>
        <v>92.38</v>
      </c>
      <c r="V27" s="30">
        <v>54.6</v>
      </c>
      <c r="W27" s="30">
        <v>0.1</v>
      </c>
      <c r="X27" s="30">
        <v>6.3</v>
      </c>
      <c r="Y27" s="30">
        <v>7.7</v>
      </c>
      <c r="Z27" s="30">
        <v>0.14000000000000001</v>
      </c>
      <c r="AA27" s="30">
        <v>30.6</v>
      </c>
      <c r="AB27" s="30">
        <v>1.37</v>
      </c>
      <c r="AC27" s="30">
        <v>7.0000000000000007E-2</v>
      </c>
      <c r="AD27" s="30">
        <v>0</v>
      </c>
      <c r="AE27" s="30">
        <v>0</v>
      </c>
      <c r="AF27" s="30">
        <v>0.59</v>
      </c>
      <c r="AG27" s="30">
        <v>0</v>
      </c>
      <c r="AH27" s="29">
        <f t="shared" si="72"/>
        <v>101.47</v>
      </c>
      <c r="AJ27" s="40">
        <f t="shared" si="73"/>
        <v>1292.4467306036699</v>
      </c>
      <c r="AK27" s="41">
        <f t="shared" ca="1" si="74"/>
        <v>1128.1867789891182</v>
      </c>
      <c r="AL27" s="40">
        <f t="shared" ca="1" si="75"/>
        <v>1136.1355245947877</v>
      </c>
      <c r="AM27" s="95">
        <f t="shared" ca="1" si="76"/>
        <v>1128.1867789891182</v>
      </c>
      <c r="AN27" s="95">
        <f t="shared" ca="1" si="77"/>
        <v>1.1532538803477033</v>
      </c>
      <c r="AO27" s="91">
        <f t="shared" si="78"/>
        <v>1.115326</v>
      </c>
      <c r="AP27" s="91">
        <f t="shared" si="79"/>
        <v>1.0241500000000001</v>
      </c>
      <c r="AR27" s="40">
        <f t="shared" ca="1" si="80"/>
        <v>1.5028081238395676</v>
      </c>
      <c r="AS27" s="40">
        <f t="shared" ca="1" si="81"/>
        <v>1.1532538803476948</v>
      </c>
      <c r="AT27" s="40">
        <f t="shared" ca="1" si="82"/>
        <v>0.85012641661093313</v>
      </c>
      <c r="AU27" s="64"/>
      <c r="AV27" s="71">
        <f t="shared" si="0"/>
        <v>0.33341503267973849</v>
      </c>
      <c r="AX27" s="29">
        <f t="shared" si="1"/>
        <v>0.14113917429648731</v>
      </c>
      <c r="AY27" s="29">
        <f t="shared" si="2"/>
        <v>0.423313769514581</v>
      </c>
      <c r="AZ27" s="29">
        <f t="shared" si="83"/>
        <v>70.258576950397128</v>
      </c>
      <c r="BA27" s="29">
        <f t="shared" si="84"/>
        <v>87.631729987404938</v>
      </c>
      <c r="BB27" s="29">
        <f t="shared" si="3"/>
        <v>0.76897470039946747</v>
      </c>
      <c r="BC27" s="29">
        <f t="shared" si="4"/>
        <v>8.5106382978723406E-3</v>
      </c>
      <c r="BD27" s="29">
        <f t="shared" si="5"/>
        <v>0.35307963907414674</v>
      </c>
      <c r="BE27" s="29">
        <f t="shared" si="6"/>
        <v>8.9074460681976358E-2</v>
      </c>
      <c r="BF27" s="29">
        <f t="shared" si="7"/>
        <v>1.1277135607555681E-3</v>
      </c>
      <c r="BG27" s="29">
        <f t="shared" si="8"/>
        <v>0.21042183622828786</v>
      </c>
      <c r="BH27" s="29">
        <f t="shared" si="9"/>
        <v>0.15727532097004279</v>
      </c>
      <c r="BI27" s="29">
        <f t="shared" si="10"/>
        <v>9.6805421103581812E-2</v>
      </c>
      <c r="BJ27" s="29">
        <f t="shared" si="11"/>
        <v>9.3418259023354561E-3</v>
      </c>
      <c r="BK27" s="29">
        <f t="shared" si="12"/>
        <v>0</v>
      </c>
      <c r="BL27" s="29">
        <f t="shared" si="13"/>
        <v>7.8948303335171072E-4</v>
      </c>
      <c r="BM27" s="29">
        <f t="shared" si="85"/>
        <v>3.0999668867173463E-3</v>
      </c>
      <c r="BN27" s="29">
        <f t="shared" si="86"/>
        <v>1.6985010061385355</v>
      </c>
      <c r="BO27" s="29">
        <f t="shared" si="87"/>
        <v>0.4527372651651802</v>
      </c>
      <c r="BP27" s="29">
        <f t="shared" si="88"/>
        <v>5.0106760414707604E-3</v>
      </c>
      <c r="BQ27" s="29">
        <f t="shared" si="89"/>
        <v>0.20787720336819651</v>
      </c>
      <c r="BR27" s="29">
        <f t="shared" si="90"/>
        <v>5.2442983760417713E-2</v>
      </c>
      <c r="BS27" s="29">
        <f t="shared" si="91"/>
        <v>6.6394636016105365E-4</v>
      </c>
      <c r="BT27" s="29">
        <f t="shared" si="92"/>
        <v>0.12388678927348551</v>
      </c>
      <c r="BU27" s="29">
        <f t="shared" si="93"/>
        <v>9.2596542717158031E-2</v>
      </c>
      <c r="BV27" s="29">
        <f t="shared" si="94"/>
        <v>5.6994620994464125E-2</v>
      </c>
      <c r="BW27" s="29">
        <f t="shared" si="95"/>
        <v>5.5000414298097301E-3</v>
      </c>
      <c r="BX27" s="29">
        <f t="shared" si="96"/>
        <v>0</v>
      </c>
      <c r="BY27" s="29">
        <f t="shared" si="97"/>
        <v>4.6481163714266169E-4</v>
      </c>
      <c r="BZ27" s="29">
        <f t="shared" si="98"/>
        <v>1.8251192525137088E-3</v>
      </c>
      <c r="CA27" s="29">
        <f t="shared" si="99"/>
        <v>1</v>
      </c>
      <c r="CB27" s="29">
        <f t="shared" si="15"/>
        <v>0.90878828229027964</v>
      </c>
      <c r="CC27" s="29">
        <f t="shared" si="16"/>
        <v>1.2515644555694619E-3</v>
      </c>
      <c r="CD27" s="29">
        <f t="shared" si="17"/>
        <v>6.1788936837975678E-2</v>
      </c>
      <c r="CE27" s="29">
        <f t="shared" si="18"/>
        <v>0.10716771050800279</v>
      </c>
      <c r="CF27" s="29">
        <f t="shared" si="19"/>
        <v>1.9734987313222443E-3</v>
      </c>
      <c r="CG27" s="29">
        <f t="shared" si="20"/>
        <v>0.7593052109181142</v>
      </c>
      <c r="CH27" s="29">
        <f t="shared" si="21"/>
        <v>2.442938659058488E-2</v>
      </c>
      <c r="CI27" s="29">
        <f t="shared" si="22"/>
        <v>1.1293965795417878E-3</v>
      </c>
      <c r="CJ27" s="29">
        <f t="shared" si="23"/>
        <v>0</v>
      </c>
      <c r="CK27" s="29">
        <f t="shared" si="24"/>
        <v>0</v>
      </c>
      <c r="CL27" s="29">
        <f t="shared" si="25"/>
        <v>3.8816249139792445E-3</v>
      </c>
      <c r="CM27" s="29">
        <f t="shared" si="26"/>
        <v>1.8697156118253702</v>
      </c>
      <c r="CO27" s="29">
        <f t="shared" si="27"/>
        <v>0.84565803510578907</v>
      </c>
      <c r="CQ27" s="29">
        <f t="shared" si="111"/>
        <v>1.8175765645805593</v>
      </c>
      <c r="CR27" s="29">
        <f t="shared" si="111"/>
        <v>2.5031289111389237E-3</v>
      </c>
      <c r="CS27" s="29">
        <f t="shared" si="29"/>
        <v>0.18536681051392703</v>
      </c>
      <c r="CT27" s="29">
        <f t="shared" si="112"/>
        <v>0.10716771050800279</v>
      </c>
      <c r="CU27" s="29">
        <f t="shared" si="112"/>
        <v>1.9734987313222443E-3</v>
      </c>
      <c r="CV27" s="29">
        <f t="shared" si="112"/>
        <v>0.7593052109181142</v>
      </c>
      <c r="CW27" s="29">
        <f t="shared" si="110"/>
        <v>2.442938659058488E-2</v>
      </c>
      <c r="CX27" s="29">
        <f t="shared" si="110"/>
        <v>1.1293965795417878E-3</v>
      </c>
      <c r="CY27" s="29">
        <f t="shared" si="110"/>
        <v>0</v>
      </c>
      <c r="CZ27" s="29">
        <f t="shared" si="104"/>
        <v>0</v>
      </c>
      <c r="DA27" s="29">
        <f t="shared" si="31"/>
        <v>1.1644874741937733E-2</v>
      </c>
      <c r="DB27" s="29">
        <f t="shared" si="32"/>
        <v>2.9110965820751291</v>
      </c>
      <c r="DC27" s="29">
        <f t="shared" si="33"/>
        <v>2.0610789889090504</v>
      </c>
      <c r="DD27" s="29">
        <f t="shared" si="34"/>
        <v>1.8730844339952422</v>
      </c>
      <c r="DE27" s="29">
        <f t="shared" si="35"/>
        <v>2.5795732026396125E-3</v>
      </c>
      <c r="DF27" s="29">
        <f t="shared" si="36"/>
        <v>0.2547037589275602</v>
      </c>
      <c r="DG27" s="29">
        <f t="shared" si="37"/>
        <v>1.8756640071978818</v>
      </c>
      <c r="DH27" s="29">
        <f t="shared" si="38"/>
        <v>0.12691556600475784</v>
      </c>
      <c r="DI27" s="29">
        <f t="shared" si="39"/>
        <v>0.12778819292280236</v>
      </c>
      <c r="DJ27" s="29">
        <f t="shared" si="40"/>
        <v>0.22088111641753222</v>
      </c>
      <c r="DK27" s="29">
        <f t="shared" si="41"/>
        <v>4.0675367697669447E-3</v>
      </c>
      <c r="DL27" s="29">
        <f t="shared" si="42"/>
        <v>1.5649880163924801</v>
      </c>
      <c r="DM27" s="29">
        <f t="shared" si="43"/>
        <v>5.0350895413791001E-2</v>
      </c>
      <c r="DN27" s="29">
        <f t="shared" si="44"/>
        <v>4.6555511204786557E-3</v>
      </c>
      <c r="DO27" s="29">
        <f t="shared" si="45"/>
        <v>0</v>
      </c>
      <c r="DP27" s="29">
        <f t="shared" si="46"/>
        <v>0</v>
      </c>
      <c r="DQ27" s="29">
        <f t="shared" si="47"/>
        <v>1.6000671106057043E-2</v>
      </c>
      <c r="DR27" s="31">
        <f t="shared" si="48"/>
        <v>3.9913115533455477</v>
      </c>
      <c r="DT27" s="29">
        <f t="shared" si="49"/>
        <v>4.6555511204786557E-3</v>
      </c>
      <c r="DU27" s="29">
        <f t="shared" si="50"/>
        <v>2.5795732026396125E-3</v>
      </c>
      <c r="DV27" s="29">
        <f t="shared" si="51"/>
        <v>1.6000671106057043E-2</v>
      </c>
      <c r="DW27" s="31">
        <f t="shared" si="52"/>
        <v>0.10713197069626665</v>
      </c>
      <c r="DX27" s="29">
        <f t="shared" si="53"/>
        <v>5.0350895413791001E-2</v>
      </c>
      <c r="DY27" s="29">
        <f t="shared" si="54"/>
        <v>0.81493711513354095</v>
      </c>
      <c r="DZ27" s="29">
        <f t="shared" si="55"/>
        <v>0.99565577667277394</v>
      </c>
      <c r="EA27" s="29">
        <f t="shared" si="56"/>
        <v>4.8435243540216613</v>
      </c>
      <c r="EB27" s="29">
        <f t="shared" si="57"/>
        <v>3.4320059916163599</v>
      </c>
      <c r="EE27" s="29">
        <f t="shared" si="58"/>
        <v>0.4527372651651802</v>
      </c>
      <c r="EF27" s="29">
        <f t="shared" si="59"/>
        <v>0.26959026211122233</v>
      </c>
      <c r="EG27" s="29">
        <f t="shared" si="60"/>
        <v>-0.8507988862657142</v>
      </c>
      <c r="EH27" s="29">
        <f t="shared" si="61"/>
        <v>3.4673597052351011</v>
      </c>
      <c r="EI27" s="29">
        <f t="shared" si="100"/>
        <v>16080.456797844705</v>
      </c>
      <c r="EJ27" s="29">
        <f t="shared" si="101"/>
        <v>10.271135908443249</v>
      </c>
      <c r="EK27" s="29">
        <f t="shared" si="102"/>
        <v>1565.5967306036698</v>
      </c>
      <c r="EL27" s="29">
        <f t="shared" si="62"/>
        <v>1170</v>
      </c>
      <c r="EM27" s="29">
        <f t="shared" si="63"/>
        <v>1129.6774424789951</v>
      </c>
      <c r="EO27" s="29">
        <f t="shared" si="64"/>
        <v>1.32491824758981</v>
      </c>
      <c r="EP27" s="29">
        <f t="shared" si="65"/>
        <v>1.2</v>
      </c>
      <c r="EQ27" s="31">
        <f t="shared" si="66"/>
        <v>9.5262866462291189</v>
      </c>
      <c r="ER27" s="31">
        <f t="shared" si="67"/>
        <v>9.3825703715569944</v>
      </c>
      <c r="ES27" s="31">
        <f t="shared" si="68"/>
        <v>-1.3887019432041157</v>
      </c>
      <c r="ET27" s="31">
        <f t="shared" si="69"/>
        <v>0.70258576950397122</v>
      </c>
      <c r="EU27" s="31">
        <f t="shared" si="70"/>
        <v>1138.4314513976128</v>
      </c>
    </row>
    <row r="28" spans="1:151" s="29" customFormat="1" x14ac:dyDescent="0.15">
      <c r="A28" s="29" t="s">
        <v>31</v>
      </c>
      <c r="B28" s="29" t="s">
        <v>30</v>
      </c>
      <c r="C28" s="93">
        <v>0.15</v>
      </c>
      <c r="D28" s="37">
        <v>850</v>
      </c>
      <c r="F28" s="38">
        <v>30243</v>
      </c>
      <c r="G28" s="30">
        <v>76.84</v>
      </c>
      <c r="H28" s="30">
        <v>0.22</v>
      </c>
      <c r="I28" s="30">
        <v>11.47</v>
      </c>
      <c r="J28" s="30">
        <v>1.1599999999999999</v>
      </c>
      <c r="K28" s="30">
        <v>7.0000000000000007E-2</v>
      </c>
      <c r="L28" s="30">
        <v>0.14000000000000001</v>
      </c>
      <c r="M28" s="30">
        <v>0.67</v>
      </c>
      <c r="N28" s="30">
        <v>4.0199999999999996</v>
      </c>
      <c r="O28" s="30">
        <v>2.87</v>
      </c>
      <c r="P28" s="30">
        <v>0</v>
      </c>
      <c r="Q28" s="30">
        <v>0</v>
      </c>
      <c r="R28" s="30">
        <v>0</v>
      </c>
      <c r="S28" s="30">
        <v>2.5299999999999998</v>
      </c>
      <c r="T28" s="29">
        <f t="shared" si="71"/>
        <v>97.46</v>
      </c>
      <c r="V28" s="30">
        <v>51.81</v>
      </c>
      <c r="W28" s="30">
        <v>0.13</v>
      </c>
      <c r="X28" s="30">
        <v>1.0900000000000001</v>
      </c>
      <c r="Y28" s="30">
        <v>26.34</v>
      </c>
      <c r="Z28" s="30">
        <v>0.69</v>
      </c>
      <c r="AA28" s="30">
        <v>19.260000000000002</v>
      </c>
      <c r="AB28" s="30">
        <v>1.08</v>
      </c>
      <c r="AC28" s="30">
        <v>0.02</v>
      </c>
      <c r="AD28" s="30">
        <v>0.01</v>
      </c>
      <c r="AE28" s="30">
        <v>0</v>
      </c>
      <c r="AF28" s="30">
        <v>0.02</v>
      </c>
      <c r="AG28" s="30">
        <v>0</v>
      </c>
      <c r="AH28" s="29">
        <f t="shared" si="72"/>
        <v>100.45</v>
      </c>
      <c r="AJ28" s="40">
        <f t="shared" si="73"/>
        <v>1083.3445299716218</v>
      </c>
      <c r="AK28" s="41">
        <f t="shared" ca="1" si="74"/>
        <v>839.70804028195471</v>
      </c>
      <c r="AL28" s="40">
        <f t="shared" ca="1" si="75"/>
        <v>869.29465734509108</v>
      </c>
      <c r="AM28" s="95">
        <f t="shared" ca="1" si="76"/>
        <v>839.70804028195471</v>
      </c>
      <c r="AN28" s="95">
        <f t="shared" ca="1" si="77"/>
        <v>0.16804938168646233</v>
      </c>
      <c r="AO28" s="91">
        <f t="shared" si="78"/>
        <v>0.20402876111595464</v>
      </c>
      <c r="AP28" s="91">
        <f t="shared" si="79"/>
        <v>0.2130920662598082</v>
      </c>
      <c r="AR28" s="40">
        <f t="shared" ca="1" si="80"/>
        <v>-0.21846148270361279</v>
      </c>
      <c r="AS28" s="40">
        <f t="shared" ca="1" si="81"/>
        <v>0.16804938168646233</v>
      </c>
      <c r="AT28" s="40">
        <f t="shared" ca="1" si="82"/>
        <v>0.67809721005390278</v>
      </c>
      <c r="AU28" s="64"/>
      <c r="AV28" s="71">
        <f t="shared" si="0"/>
        <v>0.16505532280588678</v>
      </c>
      <c r="AX28" s="29">
        <f t="shared" si="1"/>
        <v>0.76707488125356338</v>
      </c>
      <c r="AY28" s="29">
        <f t="shared" si="2"/>
        <v>4.6473804553136491</v>
      </c>
      <c r="AZ28" s="29">
        <f t="shared" si="83"/>
        <v>17.70732480152094</v>
      </c>
      <c r="BA28" s="29">
        <f t="shared" si="84"/>
        <v>56.590697463290276</v>
      </c>
      <c r="BB28" s="29">
        <f t="shared" si="3"/>
        <v>1.2789613848202397</v>
      </c>
      <c r="BC28" s="29">
        <f t="shared" si="4"/>
        <v>2.753441802252816E-3</v>
      </c>
      <c r="BD28" s="29">
        <f t="shared" si="5"/>
        <v>0.22499019223224798</v>
      </c>
      <c r="BE28" s="29">
        <f t="shared" si="6"/>
        <v>1.6144745998608212E-2</v>
      </c>
      <c r="BF28" s="29">
        <f t="shared" si="7"/>
        <v>9.8674936566112213E-4</v>
      </c>
      <c r="BG28" s="29">
        <f t="shared" si="8"/>
        <v>3.4739454094292808E-3</v>
      </c>
      <c r="BH28" s="29">
        <f t="shared" si="9"/>
        <v>1.1947218259629102E-2</v>
      </c>
      <c r="BI28" s="29">
        <f t="shared" si="10"/>
        <v>0.1297192642787996</v>
      </c>
      <c r="BJ28" s="29">
        <f t="shared" si="11"/>
        <v>6.0934182590233546E-2</v>
      </c>
      <c r="BK28" s="29">
        <f t="shared" si="12"/>
        <v>0</v>
      </c>
      <c r="BL28" s="29">
        <f t="shared" si="13"/>
        <v>0</v>
      </c>
      <c r="BM28" s="29">
        <f t="shared" si="85"/>
        <v>0</v>
      </c>
      <c r="BN28" s="29">
        <f t="shared" si="86"/>
        <v>1.7299111247571015</v>
      </c>
      <c r="BO28" s="29">
        <f t="shared" si="87"/>
        <v>0.73932201863828118</v>
      </c>
      <c r="BP28" s="29">
        <f t="shared" si="88"/>
        <v>1.5916666254397486E-3</v>
      </c>
      <c r="BQ28" s="29">
        <f t="shared" si="89"/>
        <v>0.13005881574629394</v>
      </c>
      <c r="BR28" s="29">
        <f t="shared" si="90"/>
        <v>9.3327025692577763E-3</v>
      </c>
      <c r="BS28" s="29">
        <f t="shared" si="91"/>
        <v>5.7040465925651098E-4</v>
      </c>
      <c r="BT28" s="29">
        <f t="shared" si="92"/>
        <v>2.0081640956653543E-3</v>
      </c>
      <c r="BU28" s="29">
        <f t="shared" si="93"/>
        <v>6.9062613036300477E-3</v>
      </c>
      <c r="BV28" s="29">
        <f t="shared" si="94"/>
        <v>7.4986085945319067E-2</v>
      </c>
      <c r="BW28" s="29">
        <f t="shared" si="95"/>
        <v>3.5223880416856312E-2</v>
      </c>
      <c r="BX28" s="29">
        <f t="shared" si="96"/>
        <v>0</v>
      </c>
      <c r="BY28" s="29">
        <f t="shared" si="97"/>
        <v>0</v>
      </c>
      <c r="BZ28" s="29">
        <f t="shared" si="98"/>
        <v>0</v>
      </c>
      <c r="CA28" s="29">
        <f t="shared" si="99"/>
        <v>1</v>
      </c>
      <c r="CB28" s="29">
        <f t="shared" si="15"/>
        <v>0.86235019973368843</v>
      </c>
      <c r="CC28" s="29">
        <f t="shared" si="16"/>
        <v>1.6270337922403002E-3</v>
      </c>
      <c r="CD28" s="29">
        <f t="shared" si="17"/>
        <v>1.0690466849744999E-2</v>
      </c>
      <c r="CE28" s="29">
        <f t="shared" si="18"/>
        <v>0.36659707724425888</v>
      </c>
      <c r="CF28" s="29">
        <f t="shared" si="19"/>
        <v>9.7265294615167738E-3</v>
      </c>
      <c r="CG28" s="29">
        <f t="shared" si="20"/>
        <v>0.47791563275434251</v>
      </c>
      <c r="CH28" s="29">
        <f t="shared" si="21"/>
        <v>1.9258202567760344E-2</v>
      </c>
      <c r="CI28" s="29">
        <f t="shared" si="22"/>
        <v>3.2268473701193938E-4</v>
      </c>
      <c r="CJ28" s="29">
        <f t="shared" si="23"/>
        <v>1.0615711252653928E-4</v>
      </c>
      <c r="CK28" s="29">
        <f t="shared" si="24"/>
        <v>0</v>
      </c>
      <c r="CL28" s="29">
        <f t="shared" si="25"/>
        <v>1.3158050555861847E-4</v>
      </c>
      <c r="CM28" s="29">
        <f t="shared" si="26"/>
        <v>1.7487255647586493</v>
      </c>
      <c r="CO28" s="29">
        <f t="shared" si="27"/>
        <v>0.54684444092109197</v>
      </c>
      <c r="CQ28" s="29">
        <f t="shared" si="111"/>
        <v>1.7247003994673769</v>
      </c>
      <c r="CR28" s="29">
        <f t="shared" si="111"/>
        <v>3.2540675844806004E-3</v>
      </c>
      <c r="CS28" s="29">
        <f t="shared" si="29"/>
        <v>3.2071400549234998E-2</v>
      </c>
      <c r="CT28" s="29">
        <f t="shared" si="112"/>
        <v>0.36659707724425888</v>
      </c>
      <c r="CU28" s="29">
        <f t="shared" si="112"/>
        <v>9.7265294615167738E-3</v>
      </c>
      <c r="CV28" s="29">
        <f t="shared" si="112"/>
        <v>0.47791563275434251</v>
      </c>
      <c r="CW28" s="29">
        <f t="shared" si="110"/>
        <v>1.9258202567760344E-2</v>
      </c>
      <c r="CX28" s="29">
        <f t="shared" si="110"/>
        <v>3.2268473701193938E-4</v>
      </c>
      <c r="CY28" s="29">
        <f t="shared" si="110"/>
        <v>1.0615711252653928E-4</v>
      </c>
      <c r="CZ28" s="29">
        <f t="shared" si="104"/>
        <v>0</v>
      </c>
      <c r="DA28" s="29">
        <f t="shared" si="31"/>
        <v>3.9474151667585541E-4</v>
      </c>
      <c r="DB28" s="29">
        <f t="shared" si="32"/>
        <v>2.6343468929951865</v>
      </c>
      <c r="DC28" s="29">
        <f t="shared" si="33"/>
        <v>2.2776043716771674</v>
      </c>
      <c r="DD28" s="29">
        <f t="shared" si="34"/>
        <v>1.9640925848301274</v>
      </c>
      <c r="DE28" s="29">
        <f t="shared" si="35"/>
        <v>3.7057392780729878E-3</v>
      </c>
      <c r="DF28" s="29">
        <f t="shared" si="36"/>
        <v>4.8697308064498096E-2</v>
      </c>
      <c r="DG28" s="29">
        <f t="shared" si="37"/>
        <v>1.9677983241082004</v>
      </c>
      <c r="DH28" s="29">
        <f t="shared" si="38"/>
        <v>3.5907415169872614E-2</v>
      </c>
      <c r="DI28" s="29">
        <f t="shared" si="39"/>
        <v>1.2789892894625482E-2</v>
      </c>
      <c r="DJ28" s="29">
        <f t="shared" si="40"/>
        <v>0.83496310577559629</v>
      </c>
      <c r="DK28" s="29">
        <f t="shared" si="41"/>
        <v>2.215318602279737E-2</v>
      </c>
      <c r="DL28" s="29">
        <f t="shared" si="42"/>
        <v>1.0885027344541502</v>
      </c>
      <c r="DM28" s="29">
        <f t="shared" si="43"/>
        <v>4.3862566358975411E-2</v>
      </c>
      <c r="DN28" s="29">
        <f t="shared" si="44"/>
        <v>1.4698963353837805E-3</v>
      </c>
      <c r="DO28" s="29">
        <f t="shared" si="45"/>
        <v>4.8356780715014171E-4</v>
      </c>
      <c r="DP28" s="29">
        <f t="shared" si="46"/>
        <v>0</v>
      </c>
      <c r="DQ28" s="29">
        <f t="shared" si="47"/>
        <v>5.9937666937560257E-4</v>
      </c>
      <c r="DR28" s="31">
        <f t="shared" si="48"/>
        <v>4.008530065596128</v>
      </c>
      <c r="DT28" s="29">
        <f t="shared" si="49"/>
        <v>1.4698963353837805E-3</v>
      </c>
      <c r="DU28" s="29">
        <f t="shared" si="50"/>
        <v>3.7057392780729878E-3</v>
      </c>
      <c r="DV28" s="29">
        <f t="shared" si="51"/>
        <v>5.9937666937560257E-4</v>
      </c>
      <c r="DW28" s="31">
        <f t="shared" si="52"/>
        <v>1.07206198898661E-2</v>
      </c>
      <c r="DX28" s="29">
        <f t="shared" si="53"/>
        <v>4.3862566358975411E-2</v>
      </c>
      <c r="DY28" s="29">
        <f t="shared" si="54"/>
        <v>0.94366505036281467</v>
      </c>
      <c r="DZ28" s="29">
        <f t="shared" si="55"/>
        <v>1.0040232488944885</v>
      </c>
      <c r="EA28" s="29">
        <f t="shared" si="56"/>
        <v>9.4065997263108603</v>
      </c>
      <c r="EB28" s="29">
        <f t="shared" si="57"/>
        <v>4.2762425654047114</v>
      </c>
      <c r="EE28" s="29">
        <f t="shared" si="58"/>
        <v>0.73932201863828118</v>
      </c>
      <c r="EF28" s="29">
        <f t="shared" si="59"/>
        <v>1.8817532627809688E-2</v>
      </c>
      <c r="EG28" s="29">
        <f t="shared" si="60"/>
        <v>-0.49880440144439653</v>
      </c>
      <c r="EH28" s="29">
        <f t="shared" si="61"/>
        <v>96.600004017175038</v>
      </c>
      <c r="EI28" s="29">
        <f t="shared" si="100"/>
        <v>15259.591792552683</v>
      </c>
      <c r="EJ28" s="29">
        <f t="shared" si="101"/>
        <v>11.249283690714121</v>
      </c>
      <c r="EK28" s="29">
        <f t="shared" si="102"/>
        <v>1356.4945299716219</v>
      </c>
      <c r="EL28" s="29">
        <f t="shared" si="62"/>
        <v>850</v>
      </c>
      <c r="EM28" s="29">
        <f t="shared" si="63"/>
        <v>839.19295902956537</v>
      </c>
      <c r="EO28" s="29">
        <f t="shared" si="64"/>
        <v>0.20878091713755337</v>
      </c>
      <c r="EP28" s="29">
        <f t="shared" si="65"/>
        <v>0.15</v>
      </c>
      <c r="EQ28" s="31">
        <f t="shared" si="66"/>
        <v>6.0013617536049502</v>
      </c>
      <c r="ER28" s="31">
        <f t="shared" si="67"/>
        <v>5.8268340838376389</v>
      </c>
      <c r="ES28" s="31">
        <f t="shared" si="68"/>
        <v>12.622293530806452</v>
      </c>
      <c r="ET28" s="31">
        <f t="shared" si="69"/>
        <v>0.17707324801520941</v>
      </c>
      <c r="EU28" s="31">
        <f t="shared" si="70"/>
        <v>868.09641837823449</v>
      </c>
    </row>
    <row r="29" spans="1:151" s="29" customFormat="1" x14ac:dyDescent="0.15">
      <c r="A29" s="29" t="s">
        <v>31</v>
      </c>
      <c r="B29" s="29" t="s">
        <v>32</v>
      </c>
      <c r="C29" s="93">
        <v>0.15</v>
      </c>
      <c r="D29" s="37">
        <v>850</v>
      </c>
      <c r="F29" s="38">
        <v>30242</v>
      </c>
      <c r="G29" s="30">
        <v>76.319999999999993</v>
      </c>
      <c r="H29" s="30">
        <v>0.23</v>
      </c>
      <c r="I29" s="30">
        <v>11.87</v>
      </c>
      <c r="J29" s="30">
        <v>1.18</v>
      </c>
      <c r="K29" s="30">
        <v>0.01</v>
      </c>
      <c r="L29" s="30">
        <v>0.14000000000000001</v>
      </c>
      <c r="M29" s="30">
        <v>0.67</v>
      </c>
      <c r="N29" s="30">
        <v>4.22</v>
      </c>
      <c r="O29" s="30">
        <v>2.8</v>
      </c>
      <c r="P29" s="30">
        <v>0</v>
      </c>
      <c r="Q29" s="30">
        <v>0</v>
      </c>
      <c r="R29" s="30">
        <v>0</v>
      </c>
      <c r="S29" s="30">
        <v>2.56</v>
      </c>
      <c r="T29" s="29">
        <f t="shared" si="71"/>
        <v>97.440000000000012</v>
      </c>
      <c r="V29" s="30">
        <v>51.76</v>
      </c>
      <c r="W29" s="30">
        <v>0.09</v>
      </c>
      <c r="X29" s="30">
        <v>0.86</v>
      </c>
      <c r="Y29" s="30">
        <v>26.72</v>
      </c>
      <c r="Z29" s="30">
        <v>0.67</v>
      </c>
      <c r="AA29" s="30">
        <v>19.27</v>
      </c>
      <c r="AB29" s="30">
        <v>1.1200000000000001</v>
      </c>
      <c r="AC29" s="30">
        <v>0.01</v>
      </c>
      <c r="AD29" s="30">
        <v>0.01</v>
      </c>
      <c r="AE29" s="30">
        <v>0</v>
      </c>
      <c r="AF29" s="30">
        <v>0.01</v>
      </c>
      <c r="AG29" s="30">
        <v>0</v>
      </c>
      <c r="AH29" s="29">
        <f t="shared" si="72"/>
        <v>100.52000000000002</v>
      </c>
      <c r="AJ29" s="40">
        <f t="shared" si="73"/>
        <v>1079.365271458571</v>
      </c>
      <c r="AK29" s="41">
        <f t="shared" ca="1" si="74"/>
        <v>829.02029459567495</v>
      </c>
      <c r="AL29" s="40">
        <f t="shared" ca="1" si="75"/>
        <v>854.50636375506042</v>
      </c>
      <c r="AM29" s="95">
        <f t="shared" ca="1" si="76"/>
        <v>829.02029459567495</v>
      </c>
      <c r="AN29" s="95">
        <f t="shared" ca="1" si="77"/>
        <v>-2.5786158886599252E-2</v>
      </c>
      <c r="AO29" s="91">
        <f t="shared" si="78"/>
        <v>0.14144421735467558</v>
      </c>
      <c r="AP29" s="91">
        <f t="shared" si="79"/>
        <v>0.14126840775063187</v>
      </c>
      <c r="AR29" s="40">
        <f t="shared" ca="1" si="80"/>
        <v>-0.30400553163843635</v>
      </c>
      <c r="AS29" s="40">
        <f t="shared" ca="1" si="81"/>
        <v>-2.5786158886599252E-2</v>
      </c>
      <c r="AT29" s="40">
        <f t="shared" ca="1" si="82"/>
        <v>0.59350409729876907</v>
      </c>
      <c r="AU29" s="64"/>
      <c r="AV29" s="71">
        <f t="shared" si="0"/>
        <v>0.16451320661782168</v>
      </c>
      <c r="AX29" s="29">
        <f t="shared" si="1"/>
        <v>0.77773745178485842</v>
      </c>
      <c r="AY29" s="29">
        <f t="shared" si="2"/>
        <v>4.7275077045431946</v>
      </c>
      <c r="AZ29" s="29">
        <f t="shared" si="83"/>
        <v>17.45960113168903</v>
      </c>
      <c r="BA29" s="29">
        <f t="shared" si="84"/>
        <v>56.251275968562986</v>
      </c>
      <c r="BB29" s="29">
        <f t="shared" si="3"/>
        <v>1.2703062583222369</v>
      </c>
      <c r="BC29" s="29">
        <f t="shared" si="4"/>
        <v>2.8785982478097623E-3</v>
      </c>
      <c r="BD29" s="29">
        <f t="shared" si="5"/>
        <v>0.23283640643389564</v>
      </c>
      <c r="BE29" s="29">
        <f t="shared" si="6"/>
        <v>1.6423103688239387E-2</v>
      </c>
      <c r="BF29" s="29">
        <f t="shared" si="7"/>
        <v>1.4096419509444601E-4</v>
      </c>
      <c r="BG29" s="29">
        <f t="shared" si="8"/>
        <v>3.4739454094292808E-3</v>
      </c>
      <c r="BH29" s="29">
        <f t="shared" si="9"/>
        <v>1.1947218259629102E-2</v>
      </c>
      <c r="BI29" s="29">
        <f t="shared" si="10"/>
        <v>0.13617295901903839</v>
      </c>
      <c r="BJ29" s="29">
        <f t="shared" si="11"/>
        <v>5.9447983014861989E-2</v>
      </c>
      <c r="BK29" s="29">
        <f t="shared" si="12"/>
        <v>0</v>
      </c>
      <c r="BL29" s="29">
        <f t="shared" si="13"/>
        <v>0</v>
      </c>
      <c r="BM29" s="29">
        <f t="shared" si="85"/>
        <v>0</v>
      </c>
      <c r="BN29" s="29">
        <f t="shared" si="86"/>
        <v>1.7336274365902349</v>
      </c>
      <c r="BO29" s="29">
        <f t="shared" si="87"/>
        <v>0.73274466676688277</v>
      </c>
      <c r="BP29" s="29">
        <f t="shared" si="88"/>
        <v>1.6604480219068868E-3</v>
      </c>
      <c r="BQ29" s="29">
        <f t="shared" si="89"/>
        <v>0.13430590767059342</v>
      </c>
      <c r="BR29" s="29">
        <f t="shared" si="90"/>
        <v>9.4732601374497051E-3</v>
      </c>
      <c r="BS29" s="29">
        <f t="shared" si="91"/>
        <v>8.1311700610657049E-5</v>
      </c>
      <c r="BT29" s="29">
        <f t="shared" si="92"/>
        <v>2.0038592699374732E-3</v>
      </c>
      <c r="BU29" s="29">
        <f t="shared" si="93"/>
        <v>6.8914566114201279E-3</v>
      </c>
      <c r="BV29" s="29">
        <f t="shared" si="94"/>
        <v>7.8547994883415434E-2</v>
      </c>
      <c r="BW29" s="29">
        <f t="shared" si="95"/>
        <v>3.4291094937783498E-2</v>
      </c>
      <c r="BX29" s="29">
        <f t="shared" si="96"/>
        <v>0</v>
      </c>
      <c r="BY29" s="29">
        <f t="shared" si="97"/>
        <v>0</v>
      </c>
      <c r="BZ29" s="29">
        <f t="shared" si="98"/>
        <v>0</v>
      </c>
      <c r="CA29" s="29">
        <f t="shared" si="99"/>
        <v>1</v>
      </c>
      <c r="CB29" s="29">
        <f t="shared" si="15"/>
        <v>0.86151797603195734</v>
      </c>
      <c r="CC29" s="29">
        <f t="shared" si="16"/>
        <v>1.1264080100125155E-3</v>
      </c>
      <c r="CD29" s="29">
        <f t="shared" si="17"/>
        <v>8.4346802667712838E-3</v>
      </c>
      <c r="CE29" s="29">
        <f t="shared" si="18"/>
        <v>0.37188587334725121</v>
      </c>
      <c r="CF29" s="29">
        <f t="shared" si="19"/>
        <v>9.4446010713278832E-3</v>
      </c>
      <c r="CG29" s="29">
        <f t="shared" si="20"/>
        <v>0.47816377171215885</v>
      </c>
      <c r="CH29" s="29">
        <f t="shared" si="21"/>
        <v>1.9971469329529246E-2</v>
      </c>
      <c r="CI29" s="29">
        <f t="shared" si="22"/>
        <v>1.6134236850596969E-4</v>
      </c>
      <c r="CJ29" s="29">
        <f t="shared" si="23"/>
        <v>1.0615711252653928E-4</v>
      </c>
      <c r="CK29" s="29">
        <f t="shared" si="24"/>
        <v>0</v>
      </c>
      <c r="CL29" s="29">
        <f t="shared" si="25"/>
        <v>6.5790252779309236E-5</v>
      </c>
      <c r="CM29" s="29">
        <f t="shared" si="26"/>
        <v>1.7508780695028203</v>
      </c>
      <c r="CO29" s="29">
        <f t="shared" si="27"/>
        <v>0.5435576437332027</v>
      </c>
      <c r="CQ29" s="29">
        <f t="shared" si="111"/>
        <v>1.7230359520639147</v>
      </c>
      <c r="CR29" s="29">
        <f t="shared" si="111"/>
        <v>2.252816020025031E-3</v>
      </c>
      <c r="CS29" s="29">
        <f t="shared" si="29"/>
        <v>2.530404080031385E-2</v>
      </c>
      <c r="CT29" s="29">
        <f t="shared" si="112"/>
        <v>0.37188587334725121</v>
      </c>
      <c r="CU29" s="29">
        <f t="shared" si="112"/>
        <v>9.4446010713278832E-3</v>
      </c>
      <c r="CV29" s="29">
        <f t="shared" si="112"/>
        <v>0.47816377171215885</v>
      </c>
      <c r="CW29" s="29">
        <f t="shared" si="110"/>
        <v>1.9971469329529246E-2</v>
      </c>
      <c r="CX29" s="29">
        <f t="shared" si="110"/>
        <v>1.6134236850596969E-4</v>
      </c>
      <c r="CY29" s="29">
        <f t="shared" si="110"/>
        <v>1.0615711252653928E-4</v>
      </c>
      <c r="CZ29" s="29">
        <f t="shared" si="104"/>
        <v>0</v>
      </c>
      <c r="DA29" s="29">
        <f t="shared" si="31"/>
        <v>1.9737075833792771E-4</v>
      </c>
      <c r="DB29" s="29">
        <f t="shared" si="32"/>
        <v>2.6305233945838915</v>
      </c>
      <c r="DC29" s="29">
        <f t="shared" si="33"/>
        <v>2.2809148979072691</v>
      </c>
      <c r="DD29" s="29">
        <f t="shared" si="34"/>
        <v>1.9650491863462092</v>
      </c>
      <c r="DE29" s="29">
        <f t="shared" si="35"/>
        <v>2.5692408111596269E-3</v>
      </c>
      <c r="DF29" s="29">
        <f t="shared" si="36"/>
        <v>3.8477575759126158E-2</v>
      </c>
      <c r="DG29" s="29">
        <f t="shared" si="37"/>
        <v>1.9676184271573689</v>
      </c>
      <c r="DH29" s="29">
        <f t="shared" si="38"/>
        <v>3.4950813653790824E-2</v>
      </c>
      <c r="DI29" s="29">
        <f t="shared" si="39"/>
        <v>3.5267621053353335E-3</v>
      </c>
      <c r="DJ29" s="29">
        <f t="shared" si="40"/>
        <v>0.84824002883900107</v>
      </c>
      <c r="DK29" s="29">
        <f t="shared" si="41"/>
        <v>2.1542331288382722E-2</v>
      </c>
      <c r="DL29" s="29">
        <f t="shared" si="42"/>
        <v>1.0906508705377935</v>
      </c>
      <c r="DM29" s="29">
        <f t="shared" si="43"/>
        <v>4.5553221926821354E-2</v>
      </c>
      <c r="DN29" s="29">
        <f t="shared" si="44"/>
        <v>7.3601642397782164E-4</v>
      </c>
      <c r="DO29" s="29">
        <f t="shared" si="45"/>
        <v>4.8427067896120364E-4</v>
      </c>
      <c r="DP29" s="29">
        <f t="shared" si="46"/>
        <v>0</v>
      </c>
      <c r="DQ29" s="29">
        <f t="shared" si="47"/>
        <v>3.0012393540282308E-4</v>
      </c>
      <c r="DR29" s="31">
        <f t="shared" si="48"/>
        <v>4.0136028665468348</v>
      </c>
      <c r="DT29" s="29">
        <f t="shared" si="49"/>
        <v>7.3601642397782164E-4</v>
      </c>
      <c r="DU29" s="29">
        <f t="shared" si="50"/>
        <v>2.5692408111596269E-3</v>
      </c>
      <c r="DV29" s="29">
        <f t="shared" si="51"/>
        <v>3.0012393540282308E-4</v>
      </c>
      <c r="DW29" s="31">
        <f t="shared" si="52"/>
        <v>2.4906217459546888E-3</v>
      </c>
      <c r="DX29" s="29">
        <f t="shared" si="53"/>
        <v>4.5553221926821354E-2</v>
      </c>
      <c r="DY29" s="29">
        <f t="shared" si="54"/>
        <v>0.95491007309062081</v>
      </c>
      <c r="DZ29" s="29">
        <f t="shared" si="55"/>
        <v>1.0065592979339371</v>
      </c>
      <c r="EA29" s="29">
        <f t="shared" si="56"/>
        <v>9.496458132856672</v>
      </c>
      <c r="EB29" s="29">
        <f t="shared" si="57"/>
        <v>2.7913455931601066</v>
      </c>
      <c r="EE29" s="29">
        <f t="shared" si="58"/>
        <v>0.73274466676688277</v>
      </c>
      <c r="EF29" s="29">
        <f t="shared" si="59"/>
        <v>1.8449887719417964E-2</v>
      </c>
      <c r="EG29" s="29">
        <f t="shared" si="60"/>
        <v>-0.51641565893923824</v>
      </c>
      <c r="EH29" s="29">
        <f t="shared" si="61"/>
        <v>99.290733343859529</v>
      </c>
      <c r="EI29" s="29">
        <f t="shared" si="100"/>
        <v>15259.591792552683</v>
      </c>
      <c r="EJ29" s="29">
        <f t="shared" si="101"/>
        <v>11.282380402327384</v>
      </c>
      <c r="EK29" s="29">
        <f t="shared" si="102"/>
        <v>1352.5152714585711</v>
      </c>
      <c r="EL29" s="29">
        <f t="shared" si="62"/>
        <v>850</v>
      </c>
      <c r="EM29" s="29">
        <f t="shared" si="63"/>
        <v>832.91718093928625</v>
      </c>
      <c r="EO29" s="29">
        <f t="shared" si="64"/>
        <v>5.6911763923566228E-2</v>
      </c>
      <c r="EP29" s="29">
        <f t="shared" si="65"/>
        <v>0.15</v>
      </c>
      <c r="EQ29" s="31">
        <f t="shared" si="66"/>
        <v>4.1873718772939839</v>
      </c>
      <c r="ER29" s="31">
        <f t="shared" si="67"/>
        <v>4.0098230994653932</v>
      </c>
      <c r="ES29" s="31">
        <f t="shared" si="68"/>
        <v>12.519764009669609</v>
      </c>
      <c r="ET29" s="31">
        <f t="shared" si="69"/>
        <v>0.17459601131689031</v>
      </c>
      <c r="EU29" s="31">
        <f t="shared" si="70"/>
        <v>866.53550236632861</v>
      </c>
    </row>
  </sheetData>
  <phoneticPr fontId="2"/>
  <pageMargins left="0.75" right="0.75" top="1" bottom="1" header="0.5" footer="0.5"/>
  <pageSetup paperSize="0"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162"/>
  <sheetViews>
    <sheetView zoomScaleNormal="100" workbookViewId="0">
      <selection activeCell="C6" sqref="C6"/>
    </sheetView>
  </sheetViews>
  <sheetFormatPr baseColWidth="10" defaultRowHeight="13" x14ac:dyDescent="0.15"/>
  <cols>
    <col min="3" max="3" width="14.5" customWidth="1"/>
    <col min="5" max="5" width="7" customWidth="1"/>
    <col min="10" max="10" width="4.5" customWidth="1"/>
  </cols>
  <sheetData>
    <row r="1" spans="1:14" ht="26" x14ac:dyDescent="0.35">
      <c r="A1" s="72" t="s">
        <v>97</v>
      </c>
    </row>
    <row r="3" spans="1:14" ht="19" thickBot="1" x14ac:dyDescent="0.25">
      <c r="B3" s="73" t="s">
        <v>88</v>
      </c>
      <c r="C3" s="74"/>
      <c r="D3" s="75"/>
    </row>
    <row r="4" spans="1:14" ht="19" thickBot="1" x14ac:dyDescent="0.25">
      <c r="B4" s="76"/>
      <c r="C4" s="77">
        <v>0.28999999999999998</v>
      </c>
      <c r="D4" s="78"/>
    </row>
    <row r="5" spans="1:14" ht="19" thickBot="1" x14ac:dyDescent="0.25">
      <c r="B5" s="73" t="s">
        <v>89</v>
      </c>
      <c r="C5" s="79"/>
      <c r="D5" s="75"/>
      <c r="G5" s="80" t="s">
        <v>90</v>
      </c>
      <c r="L5" s="80" t="s">
        <v>91</v>
      </c>
    </row>
    <row r="6" spans="1:14" ht="19" thickBot="1" x14ac:dyDescent="0.25">
      <c r="B6" s="81"/>
      <c r="C6" s="77">
        <v>0.06</v>
      </c>
      <c r="D6" s="78"/>
      <c r="G6" s="82">
        <f>C4-C6</f>
        <v>0.22999999999999998</v>
      </c>
      <c r="L6" s="82">
        <f>C4+C6</f>
        <v>0.35</v>
      </c>
    </row>
    <row r="7" spans="1:14" ht="16" x14ac:dyDescent="0.2">
      <c r="A7" s="80"/>
      <c r="B7" s="80"/>
    </row>
    <row r="8" spans="1:14" x14ac:dyDescent="0.15">
      <c r="C8" t="s">
        <v>92</v>
      </c>
      <c r="D8" t="s">
        <v>92</v>
      </c>
      <c r="H8" t="s">
        <v>92</v>
      </c>
      <c r="I8" t="s">
        <v>92</v>
      </c>
      <c r="M8" t="s">
        <v>92</v>
      </c>
      <c r="N8" t="s">
        <v>92</v>
      </c>
    </row>
    <row r="9" spans="1:14" x14ac:dyDescent="0.15">
      <c r="A9" s="83" t="s">
        <v>93</v>
      </c>
      <c r="B9" s="83" t="s">
        <v>94</v>
      </c>
      <c r="C9" s="83" t="s">
        <v>95</v>
      </c>
      <c r="D9" s="83" t="s">
        <v>96</v>
      </c>
      <c r="F9" s="83" t="s">
        <v>93</v>
      </c>
      <c r="G9" s="83" t="s">
        <v>94</v>
      </c>
      <c r="H9" s="83" t="s">
        <v>95</v>
      </c>
      <c r="I9" s="83" t="s">
        <v>96</v>
      </c>
      <c r="K9" s="83" t="s">
        <v>93</v>
      </c>
      <c r="L9" s="83" t="s">
        <v>94</v>
      </c>
      <c r="M9" s="83" t="s">
        <v>95</v>
      </c>
      <c r="N9" s="83" t="s">
        <v>96</v>
      </c>
    </row>
    <row r="10" spans="1:14" ht="16" x14ac:dyDescent="0.2">
      <c r="A10">
        <v>0</v>
      </c>
      <c r="B10">
        <f t="shared" ref="B10:B41" si="0">$C$4*A10</f>
        <v>0</v>
      </c>
      <c r="C10" s="80">
        <f>100*B10/(B10+1)</f>
        <v>0</v>
      </c>
      <c r="D10" s="80">
        <f>100*A10/(A10+1)</f>
        <v>0</v>
      </c>
      <c r="F10">
        <f>A10</f>
        <v>0</v>
      </c>
      <c r="G10">
        <f t="shared" ref="G10:G41" si="1">$G$6*A10</f>
        <v>0</v>
      </c>
      <c r="H10" s="80">
        <f t="shared" ref="H10:H40" si="2">100*G10/(G10+1)</f>
        <v>0</v>
      </c>
      <c r="I10" s="80">
        <f t="shared" ref="I10:I41" si="3">100*F10/(F10+1)</f>
        <v>0</v>
      </c>
      <c r="K10">
        <f>A10</f>
        <v>0</v>
      </c>
      <c r="L10">
        <f t="shared" ref="L10:L41" si="4">$L$6*K10</f>
        <v>0</v>
      </c>
      <c r="M10" s="80">
        <f>100*L10/(L10+1)</f>
        <v>0</v>
      </c>
      <c r="N10" s="80">
        <f>100*K10/(K10+1)</f>
        <v>0</v>
      </c>
    </row>
    <row r="11" spans="1:14" ht="16" x14ac:dyDescent="0.2">
      <c r="A11">
        <v>0.1</v>
      </c>
      <c r="B11">
        <f t="shared" si="0"/>
        <v>2.8999999999999998E-2</v>
      </c>
      <c r="C11" s="80">
        <f t="shared" ref="C11:C41" si="5">100*B11/(B11+1)</f>
        <v>2.8182701652089408</v>
      </c>
      <c r="D11" s="80">
        <f t="shared" ref="D11:D41" si="6">100*A11/(A11+1)</f>
        <v>9.0909090909090899</v>
      </c>
      <c r="F11">
        <f t="shared" ref="F11:F41" si="7">A11</f>
        <v>0.1</v>
      </c>
      <c r="G11">
        <f t="shared" si="1"/>
        <v>2.3E-2</v>
      </c>
      <c r="H11" s="80">
        <f t="shared" si="2"/>
        <v>2.2482893450635388</v>
      </c>
      <c r="I11" s="80">
        <f t="shared" si="3"/>
        <v>9.0909090909090899</v>
      </c>
      <c r="K11">
        <f t="shared" ref="K11:K41" si="8">A11</f>
        <v>0.1</v>
      </c>
      <c r="L11">
        <f t="shared" si="4"/>
        <v>3.4999999999999996E-2</v>
      </c>
      <c r="M11" s="80">
        <f t="shared" ref="M11:M41" si="9">100*L11/(L11+1)</f>
        <v>3.3816425120772946</v>
      </c>
      <c r="N11" s="80">
        <f t="shared" ref="N11:N41" si="10">100*K11/(K11+1)</f>
        <v>9.0909090909090899</v>
      </c>
    </row>
    <row r="12" spans="1:14" ht="16" x14ac:dyDescent="0.2">
      <c r="A12">
        <v>0.2</v>
      </c>
      <c r="B12">
        <f t="shared" si="0"/>
        <v>5.7999999999999996E-2</v>
      </c>
      <c r="C12" s="80">
        <f t="shared" si="5"/>
        <v>5.4820415879017013</v>
      </c>
      <c r="D12" s="80">
        <f t="shared" si="6"/>
        <v>16.666666666666668</v>
      </c>
      <c r="F12">
        <f t="shared" si="7"/>
        <v>0.2</v>
      </c>
      <c r="G12">
        <f t="shared" si="1"/>
        <v>4.5999999999999999E-2</v>
      </c>
      <c r="H12" s="80">
        <f t="shared" si="2"/>
        <v>4.3977055449330775</v>
      </c>
      <c r="I12" s="80">
        <f t="shared" si="3"/>
        <v>16.666666666666668</v>
      </c>
      <c r="K12">
        <f t="shared" si="8"/>
        <v>0.2</v>
      </c>
      <c r="L12">
        <f t="shared" si="4"/>
        <v>6.9999999999999993E-2</v>
      </c>
      <c r="M12" s="80">
        <f t="shared" si="9"/>
        <v>6.5420560747663536</v>
      </c>
      <c r="N12" s="80">
        <f t="shared" si="10"/>
        <v>16.666666666666668</v>
      </c>
    </row>
    <row r="13" spans="1:14" ht="16" x14ac:dyDescent="0.2">
      <c r="A13">
        <v>0.3</v>
      </c>
      <c r="B13">
        <f t="shared" si="0"/>
        <v>8.6999999999999994E-2</v>
      </c>
      <c r="C13" s="80">
        <f>100*B13/(B13+1)</f>
        <v>8.0036798528058881</v>
      </c>
      <c r="D13" s="80">
        <f t="shared" si="6"/>
        <v>23.076923076923077</v>
      </c>
      <c r="F13">
        <f t="shared" si="7"/>
        <v>0.3</v>
      </c>
      <c r="G13">
        <f t="shared" si="1"/>
        <v>6.8999999999999992E-2</v>
      </c>
      <c r="H13" s="80">
        <f t="shared" si="2"/>
        <v>6.4546304957904583</v>
      </c>
      <c r="I13" s="80">
        <f t="shared" si="3"/>
        <v>23.076923076923077</v>
      </c>
      <c r="K13">
        <f t="shared" si="8"/>
        <v>0.3</v>
      </c>
      <c r="L13">
        <f t="shared" si="4"/>
        <v>0.105</v>
      </c>
      <c r="M13" s="80">
        <f t="shared" si="9"/>
        <v>9.502262443438914</v>
      </c>
      <c r="N13" s="80">
        <f t="shared" si="10"/>
        <v>23.076923076923077</v>
      </c>
    </row>
    <row r="14" spans="1:14" ht="16" x14ac:dyDescent="0.2">
      <c r="A14">
        <v>0.4</v>
      </c>
      <c r="B14">
        <f t="shared" si="0"/>
        <v>0.11599999999999999</v>
      </c>
      <c r="C14" s="80">
        <f t="shared" si="5"/>
        <v>10.394265232974909</v>
      </c>
      <c r="D14" s="80">
        <f t="shared" si="6"/>
        <v>28.571428571428573</v>
      </c>
      <c r="F14">
        <f t="shared" si="7"/>
        <v>0.4</v>
      </c>
      <c r="G14">
        <f t="shared" si="1"/>
        <v>9.1999999999999998E-2</v>
      </c>
      <c r="H14" s="80">
        <f t="shared" si="2"/>
        <v>8.4249084249084234</v>
      </c>
      <c r="I14" s="80">
        <f t="shared" si="3"/>
        <v>28.571428571428573</v>
      </c>
      <c r="K14">
        <f t="shared" si="8"/>
        <v>0.4</v>
      </c>
      <c r="L14">
        <f t="shared" si="4"/>
        <v>0.13999999999999999</v>
      </c>
      <c r="M14" s="80">
        <f t="shared" si="9"/>
        <v>12.280701754385964</v>
      </c>
      <c r="N14" s="80">
        <f t="shared" si="10"/>
        <v>28.571428571428573</v>
      </c>
    </row>
    <row r="15" spans="1:14" ht="16" x14ac:dyDescent="0.2">
      <c r="A15">
        <v>0.5</v>
      </c>
      <c r="B15">
        <f t="shared" si="0"/>
        <v>0.14499999999999999</v>
      </c>
      <c r="C15" s="80">
        <f t="shared" si="5"/>
        <v>12.663755458515283</v>
      </c>
      <c r="D15" s="80">
        <f t="shared" si="6"/>
        <v>33.333333333333336</v>
      </c>
      <c r="F15">
        <f t="shared" si="7"/>
        <v>0.5</v>
      </c>
      <c r="G15">
        <f t="shared" si="1"/>
        <v>0.11499999999999999</v>
      </c>
      <c r="H15" s="80">
        <f t="shared" si="2"/>
        <v>10.31390134529148</v>
      </c>
      <c r="I15" s="80">
        <f t="shared" si="3"/>
        <v>33.333333333333336</v>
      </c>
      <c r="K15">
        <f t="shared" si="8"/>
        <v>0.5</v>
      </c>
      <c r="L15">
        <f t="shared" si="4"/>
        <v>0.17499999999999999</v>
      </c>
      <c r="M15" s="80">
        <f t="shared" si="9"/>
        <v>14.893617021276595</v>
      </c>
      <c r="N15" s="80">
        <f t="shared" si="10"/>
        <v>33.333333333333336</v>
      </c>
    </row>
    <row r="16" spans="1:14" ht="16" x14ac:dyDescent="0.2">
      <c r="A16">
        <v>0.6</v>
      </c>
      <c r="B16">
        <f t="shared" si="0"/>
        <v>0.17399999999999999</v>
      </c>
      <c r="C16" s="80">
        <f t="shared" si="5"/>
        <v>14.821124361158432</v>
      </c>
      <c r="D16" s="80">
        <f t="shared" si="6"/>
        <v>37.5</v>
      </c>
      <c r="F16">
        <f t="shared" si="7"/>
        <v>0.6</v>
      </c>
      <c r="G16">
        <f t="shared" si="1"/>
        <v>0.13799999999999998</v>
      </c>
      <c r="H16" s="80">
        <f t="shared" si="2"/>
        <v>12.126537785588752</v>
      </c>
      <c r="I16" s="80">
        <f t="shared" si="3"/>
        <v>37.5</v>
      </c>
      <c r="K16">
        <f t="shared" si="8"/>
        <v>0.6</v>
      </c>
      <c r="L16">
        <f t="shared" si="4"/>
        <v>0.21</v>
      </c>
      <c r="M16" s="80">
        <f t="shared" si="9"/>
        <v>17.355371900826448</v>
      </c>
      <c r="N16" s="80">
        <f t="shared" si="10"/>
        <v>37.5</v>
      </c>
    </row>
    <row r="17" spans="1:14" ht="16" x14ac:dyDescent="0.2">
      <c r="A17">
        <v>0.7</v>
      </c>
      <c r="B17">
        <f t="shared" si="0"/>
        <v>0.20299999999999999</v>
      </c>
      <c r="C17" s="80">
        <f t="shared" si="5"/>
        <v>16.874480465502906</v>
      </c>
      <c r="D17" s="80">
        <f t="shared" si="6"/>
        <v>41.176470588235297</v>
      </c>
      <c r="F17">
        <f t="shared" si="7"/>
        <v>0.7</v>
      </c>
      <c r="G17">
        <f t="shared" si="1"/>
        <v>0.16099999999999998</v>
      </c>
      <c r="H17" s="80">
        <f t="shared" si="2"/>
        <v>13.867355727820842</v>
      </c>
      <c r="I17" s="80">
        <f t="shared" si="3"/>
        <v>41.176470588235297</v>
      </c>
      <c r="K17">
        <f t="shared" si="8"/>
        <v>0.7</v>
      </c>
      <c r="L17">
        <f t="shared" si="4"/>
        <v>0.24499999999999997</v>
      </c>
      <c r="M17" s="80">
        <f t="shared" si="9"/>
        <v>19.678714859437751</v>
      </c>
      <c r="N17" s="80">
        <f t="shared" si="10"/>
        <v>41.176470588235297</v>
      </c>
    </row>
    <row r="18" spans="1:14" ht="16" x14ac:dyDescent="0.2">
      <c r="A18">
        <v>0.8</v>
      </c>
      <c r="B18">
        <f t="shared" si="0"/>
        <v>0.23199999999999998</v>
      </c>
      <c r="C18" s="80">
        <f t="shared" si="5"/>
        <v>18.831168831168831</v>
      </c>
      <c r="D18" s="80">
        <f t="shared" si="6"/>
        <v>44.444444444444443</v>
      </c>
      <c r="F18">
        <f t="shared" si="7"/>
        <v>0.8</v>
      </c>
      <c r="G18">
        <f t="shared" si="1"/>
        <v>0.184</v>
      </c>
      <c r="H18" s="80">
        <f t="shared" si="2"/>
        <v>15.54054054054054</v>
      </c>
      <c r="I18" s="80">
        <f t="shared" si="3"/>
        <v>44.444444444444443</v>
      </c>
      <c r="K18">
        <f t="shared" si="8"/>
        <v>0.8</v>
      </c>
      <c r="L18">
        <f t="shared" si="4"/>
        <v>0.27999999999999997</v>
      </c>
      <c r="M18" s="80">
        <f t="shared" si="9"/>
        <v>21.874999999999996</v>
      </c>
      <c r="N18" s="80">
        <f t="shared" si="10"/>
        <v>44.444444444444443</v>
      </c>
    </row>
    <row r="19" spans="1:14" ht="16" x14ac:dyDescent="0.2">
      <c r="A19">
        <v>0.9</v>
      </c>
      <c r="B19">
        <f t="shared" si="0"/>
        <v>0.26100000000000001</v>
      </c>
      <c r="C19" s="80">
        <f t="shared" si="5"/>
        <v>20.697858842188737</v>
      </c>
      <c r="D19" s="80">
        <f t="shared" si="6"/>
        <v>47.368421052631582</v>
      </c>
      <c r="F19">
        <f t="shared" si="7"/>
        <v>0.9</v>
      </c>
      <c r="G19">
        <f t="shared" si="1"/>
        <v>0.20699999999999999</v>
      </c>
      <c r="H19" s="80">
        <f t="shared" si="2"/>
        <v>17.149958574979287</v>
      </c>
      <c r="I19" s="80">
        <f t="shared" si="3"/>
        <v>47.368421052631582</v>
      </c>
      <c r="K19">
        <f t="shared" si="8"/>
        <v>0.9</v>
      </c>
      <c r="L19">
        <f t="shared" si="4"/>
        <v>0.315</v>
      </c>
      <c r="M19" s="80">
        <f t="shared" si="9"/>
        <v>23.954372623574145</v>
      </c>
      <c r="N19" s="80">
        <f t="shared" si="10"/>
        <v>47.368421052631582</v>
      </c>
    </row>
    <row r="20" spans="1:14" ht="16" x14ac:dyDescent="0.2">
      <c r="A20">
        <v>1</v>
      </c>
      <c r="B20">
        <f t="shared" si="0"/>
        <v>0.28999999999999998</v>
      </c>
      <c r="C20" s="80">
        <f t="shared" si="5"/>
        <v>22.480620155038757</v>
      </c>
      <c r="D20" s="80">
        <f t="shared" si="6"/>
        <v>50</v>
      </c>
      <c r="F20">
        <f t="shared" si="7"/>
        <v>1</v>
      </c>
      <c r="G20">
        <f t="shared" si="1"/>
        <v>0.22999999999999998</v>
      </c>
      <c r="H20" s="80">
        <f t="shared" si="2"/>
        <v>18.699186991869919</v>
      </c>
      <c r="I20" s="80">
        <f t="shared" si="3"/>
        <v>50</v>
      </c>
      <c r="K20">
        <f t="shared" si="8"/>
        <v>1</v>
      </c>
      <c r="L20">
        <f t="shared" si="4"/>
        <v>0.35</v>
      </c>
      <c r="M20" s="80">
        <f t="shared" si="9"/>
        <v>25.925925925925924</v>
      </c>
      <c r="N20" s="80">
        <f t="shared" si="10"/>
        <v>50</v>
      </c>
    </row>
    <row r="21" spans="1:14" ht="16" x14ac:dyDescent="0.2">
      <c r="A21">
        <v>1.1000000000000001</v>
      </c>
      <c r="B21">
        <f t="shared" si="0"/>
        <v>0.31900000000000001</v>
      </c>
      <c r="C21" s="80">
        <f t="shared" si="5"/>
        <v>24.184988627748297</v>
      </c>
      <c r="D21" s="80">
        <f t="shared" si="6"/>
        <v>52.380952380952387</v>
      </c>
      <c r="F21">
        <f t="shared" si="7"/>
        <v>1.1000000000000001</v>
      </c>
      <c r="G21">
        <f t="shared" si="1"/>
        <v>0.253</v>
      </c>
      <c r="H21" s="80">
        <f t="shared" si="2"/>
        <v>20.191540303272145</v>
      </c>
      <c r="I21" s="80">
        <f t="shared" si="3"/>
        <v>52.380952380952387</v>
      </c>
      <c r="K21">
        <f t="shared" si="8"/>
        <v>1.1000000000000001</v>
      </c>
      <c r="L21">
        <f t="shared" si="4"/>
        <v>0.38500000000000001</v>
      </c>
      <c r="M21" s="80">
        <f t="shared" si="9"/>
        <v>27.797833935018051</v>
      </c>
      <c r="N21" s="80">
        <f t="shared" si="10"/>
        <v>52.380952380952387</v>
      </c>
    </row>
    <row r="22" spans="1:14" ht="16" x14ac:dyDescent="0.2">
      <c r="A22">
        <v>1.2</v>
      </c>
      <c r="B22">
        <f t="shared" si="0"/>
        <v>0.34799999999999998</v>
      </c>
      <c r="C22" s="80">
        <f t="shared" si="5"/>
        <v>25.816023738872403</v>
      </c>
      <c r="D22" s="80">
        <f t="shared" si="6"/>
        <v>54.54545454545454</v>
      </c>
      <c r="F22">
        <f t="shared" si="7"/>
        <v>1.2</v>
      </c>
      <c r="G22">
        <f t="shared" si="1"/>
        <v>0.27599999999999997</v>
      </c>
      <c r="H22" s="80">
        <f t="shared" si="2"/>
        <v>21.630094043887144</v>
      </c>
      <c r="I22" s="80">
        <f t="shared" si="3"/>
        <v>54.54545454545454</v>
      </c>
      <c r="K22">
        <f t="shared" si="8"/>
        <v>1.2</v>
      </c>
      <c r="L22">
        <f t="shared" si="4"/>
        <v>0.42</v>
      </c>
      <c r="M22" s="80">
        <f t="shared" si="9"/>
        <v>29.577464788732396</v>
      </c>
      <c r="N22" s="80">
        <f t="shared" si="10"/>
        <v>54.54545454545454</v>
      </c>
    </row>
    <row r="23" spans="1:14" ht="16" x14ac:dyDescent="0.2">
      <c r="A23">
        <v>1.3</v>
      </c>
      <c r="B23">
        <f t="shared" si="0"/>
        <v>0.377</v>
      </c>
      <c r="C23" s="80">
        <f t="shared" si="5"/>
        <v>27.378358750907772</v>
      </c>
      <c r="D23" s="80">
        <f t="shared" si="6"/>
        <v>56.521739130434788</v>
      </c>
      <c r="F23">
        <f t="shared" si="7"/>
        <v>1.3</v>
      </c>
      <c r="G23">
        <f t="shared" si="1"/>
        <v>0.29899999999999999</v>
      </c>
      <c r="H23" s="80">
        <f t="shared" si="2"/>
        <v>23.017705927636644</v>
      </c>
      <c r="I23" s="80">
        <f t="shared" si="3"/>
        <v>56.521739130434788</v>
      </c>
      <c r="K23">
        <f t="shared" si="8"/>
        <v>1.3</v>
      </c>
      <c r="L23">
        <f t="shared" si="4"/>
        <v>0.45499999999999996</v>
      </c>
      <c r="M23" s="80">
        <f t="shared" si="9"/>
        <v>31.271477663230232</v>
      </c>
      <c r="N23" s="80">
        <f t="shared" si="10"/>
        <v>56.521739130434788</v>
      </c>
    </row>
    <row r="24" spans="1:14" ht="16" x14ac:dyDescent="0.2">
      <c r="A24">
        <v>1.4</v>
      </c>
      <c r="B24">
        <f t="shared" si="0"/>
        <v>0.40599999999999997</v>
      </c>
      <c r="C24" s="80">
        <f t="shared" si="5"/>
        <v>28.876244665718346</v>
      </c>
      <c r="D24" s="80">
        <f t="shared" si="6"/>
        <v>58.333333333333336</v>
      </c>
      <c r="F24">
        <f t="shared" si="7"/>
        <v>1.4</v>
      </c>
      <c r="G24">
        <f t="shared" si="1"/>
        <v>0.32199999999999995</v>
      </c>
      <c r="H24" s="80">
        <f t="shared" si="2"/>
        <v>24.35703479576399</v>
      </c>
      <c r="I24" s="80">
        <f t="shared" si="3"/>
        <v>58.333333333333336</v>
      </c>
      <c r="K24">
        <f t="shared" si="8"/>
        <v>1.4</v>
      </c>
      <c r="L24">
        <f t="shared" si="4"/>
        <v>0.48999999999999994</v>
      </c>
      <c r="M24" s="80">
        <f t="shared" si="9"/>
        <v>32.885906040268452</v>
      </c>
      <c r="N24" s="80">
        <f t="shared" si="10"/>
        <v>58.333333333333336</v>
      </c>
    </row>
    <row r="25" spans="1:14" ht="16" x14ac:dyDescent="0.2">
      <c r="A25">
        <v>1.5</v>
      </c>
      <c r="B25">
        <f t="shared" si="0"/>
        <v>0.43499999999999994</v>
      </c>
      <c r="C25" s="80">
        <f t="shared" si="5"/>
        <v>30.313588850174209</v>
      </c>
      <c r="D25" s="80">
        <f t="shared" si="6"/>
        <v>60</v>
      </c>
      <c r="F25">
        <f t="shared" si="7"/>
        <v>1.5</v>
      </c>
      <c r="G25">
        <f t="shared" si="1"/>
        <v>0.34499999999999997</v>
      </c>
      <c r="H25" s="80">
        <f t="shared" si="2"/>
        <v>25.650557620817846</v>
      </c>
      <c r="I25" s="80">
        <f t="shared" si="3"/>
        <v>60</v>
      </c>
      <c r="K25">
        <f t="shared" si="8"/>
        <v>1.5</v>
      </c>
      <c r="L25">
        <f t="shared" si="4"/>
        <v>0.52499999999999991</v>
      </c>
      <c r="M25" s="80">
        <f t="shared" si="9"/>
        <v>34.42622950819672</v>
      </c>
      <c r="N25" s="80">
        <f t="shared" si="10"/>
        <v>60</v>
      </c>
    </row>
    <row r="26" spans="1:14" ht="16" x14ac:dyDescent="0.2">
      <c r="A26">
        <v>1.6</v>
      </c>
      <c r="B26">
        <f t="shared" si="0"/>
        <v>0.46399999999999997</v>
      </c>
      <c r="C26" s="80">
        <f t="shared" si="5"/>
        <v>31.693989071038253</v>
      </c>
      <c r="D26" s="80">
        <f t="shared" si="6"/>
        <v>61.538461538461533</v>
      </c>
      <c r="F26">
        <f t="shared" si="7"/>
        <v>1.6</v>
      </c>
      <c r="G26">
        <f t="shared" si="1"/>
        <v>0.36799999999999999</v>
      </c>
      <c r="H26" s="80">
        <f t="shared" si="2"/>
        <v>26.900584795321638</v>
      </c>
      <c r="I26" s="80">
        <f t="shared" si="3"/>
        <v>61.538461538461533</v>
      </c>
      <c r="K26">
        <f t="shared" si="8"/>
        <v>1.6</v>
      </c>
      <c r="L26">
        <f t="shared" si="4"/>
        <v>0.55999999999999994</v>
      </c>
      <c r="M26" s="80">
        <f t="shared" si="9"/>
        <v>35.897435897435891</v>
      </c>
      <c r="N26" s="80">
        <f t="shared" si="10"/>
        <v>61.538461538461533</v>
      </c>
    </row>
    <row r="27" spans="1:14" ht="16" x14ac:dyDescent="0.2">
      <c r="A27">
        <v>1.7</v>
      </c>
      <c r="B27">
        <f t="shared" si="0"/>
        <v>0.49299999999999994</v>
      </c>
      <c r="C27" s="80">
        <f t="shared" si="5"/>
        <v>33.020763563295382</v>
      </c>
      <c r="D27" s="80">
        <f t="shared" si="6"/>
        <v>62.962962962962962</v>
      </c>
      <c r="F27">
        <f t="shared" si="7"/>
        <v>1.7</v>
      </c>
      <c r="G27">
        <f t="shared" si="1"/>
        <v>0.39099999999999996</v>
      </c>
      <c r="H27" s="80">
        <f t="shared" si="2"/>
        <v>28.109273903666423</v>
      </c>
      <c r="I27" s="80">
        <f t="shared" si="3"/>
        <v>62.962962962962962</v>
      </c>
      <c r="K27">
        <f t="shared" si="8"/>
        <v>1.7</v>
      </c>
      <c r="L27">
        <f t="shared" si="4"/>
        <v>0.59499999999999997</v>
      </c>
      <c r="M27" s="80">
        <f t="shared" si="9"/>
        <v>37.304075235109721</v>
      </c>
      <c r="N27" s="80">
        <f t="shared" si="10"/>
        <v>62.962962962962962</v>
      </c>
    </row>
    <row r="28" spans="1:14" ht="16" x14ac:dyDescent="0.2">
      <c r="A28">
        <v>2.2000000000000002</v>
      </c>
      <c r="B28">
        <f t="shared" si="0"/>
        <v>0.63800000000000001</v>
      </c>
      <c r="C28" s="80">
        <f t="shared" si="5"/>
        <v>38.949938949938954</v>
      </c>
      <c r="D28" s="80">
        <f t="shared" si="6"/>
        <v>68.75</v>
      </c>
      <c r="F28">
        <f t="shared" si="7"/>
        <v>2.2000000000000002</v>
      </c>
      <c r="G28">
        <f t="shared" si="1"/>
        <v>0.50600000000000001</v>
      </c>
      <c r="H28" s="80">
        <f t="shared" si="2"/>
        <v>33.59893758300133</v>
      </c>
      <c r="I28" s="80">
        <f t="shared" si="3"/>
        <v>68.75</v>
      </c>
      <c r="K28">
        <f t="shared" si="8"/>
        <v>2.2000000000000002</v>
      </c>
      <c r="L28">
        <f t="shared" si="4"/>
        <v>0.77</v>
      </c>
      <c r="M28" s="80">
        <f t="shared" si="9"/>
        <v>43.502824858757059</v>
      </c>
      <c r="N28" s="80">
        <f t="shared" si="10"/>
        <v>68.75</v>
      </c>
    </row>
    <row r="29" spans="1:14" ht="16" x14ac:dyDescent="0.2">
      <c r="A29">
        <v>2.7</v>
      </c>
      <c r="B29">
        <f t="shared" si="0"/>
        <v>0.78300000000000003</v>
      </c>
      <c r="C29" s="80">
        <f t="shared" si="5"/>
        <v>43.914750420639372</v>
      </c>
      <c r="D29" s="80">
        <f t="shared" si="6"/>
        <v>72.972972972972968</v>
      </c>
      <c r="F29">
        <f t="shared" si="7"/>
        <v>2.7</v>
      </c>
      <c r="G29">
        <f t="shared" si="1"/>
        <v>0.621</v>
      </c>
      <c r="H29" s="80">
        <f t="shared" si="2"/>
        <v>38.309685379395432</v>
      </c>
      <c r="I29" s="80">
        <f t="shared" si="3"/>
        <v>72.972972972972968</v>
      </c>
      <c r="K29">
        <f t="shared" si="8"/>
        <v>2.7</v>
      </c>
      <c r="L29">
        <f t="shared" si="4"/>
        <v>0.94499999999999995</v>
      </c>
      <c r="M29" s="80">
        <f t="shared" si="9"/>
        <v>48.586118251928028</v>
      </c>
      <c r="N29" s="80">
        <f t="shared" si="10"/>
        <v>72.972972972972968</v>
      </c>
    </row>
    <row r="30" spans="1:14" ht="16" x14ac:dyDescent="0.2">
      <c r="A30">
        <v>3.2</v>
      </c>
      <c r="B30">
        <f t="shared" si="0"/>
        <v>0.92799999999999994</v>
      </c>
      <c r="C30" s="80">
        <f t="shared" si="5"/>
        <v>48.132780082987551</v>
      </c>
      <c r="D30" s="80">
        <f t="shared" si="6"/>
        <v>76.19047619047619</v>
      </c>
      <c r="F30">
        <f t="shared" si="7"/>
        <v>3.2</v>
      </c>
      <c r="G30">
        <f t="shared" si="1"/>
        <v>0.73599999999999999</v>
      </c>
      <c r="H30" s="80">
        <f t="shared" si="2"/>
        <v>42.396313364055295</v>
      </c>
      <c r="I30" s="80">
        <f t="shared" si="3"/>
        <v>76.19047619047619</v>
      </c>
      <c r="K30">
        <f t="shared" si="8"/>
        <v>3.2</v>
      </c>
      <c r="L30">
        <f t="shared" si="4"/>
        <v>1.1199999999999999</v>
      </c>
      <c r="M30" s="80">
        <f t="shared" si="9"/>
        <v>52.830188679245275</v>
      </c>
      <c r="N30" s="80">
        <f t="shared" si="10"/>
        <v>76.19047619047619</v>
      </c>
    </row>
    <row r="31" spans="1:14" ht="16" x14ac:dyDescent="0.2">
      <c r="A31">
        <v>3.7</v>
      </c>
      <c r="B31">
        <f t="shared" si="0"/>
        <v>1.073</v>
      </c>
      <c r="C31" s="80">
        <f t="shared" si="5"/>
        <v>51.760733236854797</v>
      </c>
      <c r="D31" s="80">
        <f t="shared" si="6"/>
        <v>78.723404255319153</v>
      </c>
      <c r="F31">
        <f t="shared" si="7"/>
        <v>3.7</v>
      </c>
      <c r="G31">
        <f t="shared" si="1"/>
        <v>0.85099999999999998</v>
      </c>
      <c r="H31" s="80">
        <f t="shared" si="2"/>
        <v>45.975148568341432</v>
      </c>
      <c r="I31" s="80">
        <f t="shared" si="3"/>
        <v>78.723404255319153</v>
      </c>
      <c r="K31">
        <f t="shared" si="8"/>
        <v>3.7</v>
      </c>
      <c r="L31">
        <f t="shared" si="4"/>
        <v>1.2949999999999999</v>
      </c>
      <c r="M31" s="80">
        <f t="shared" si="9"/>
        <v>56.427015250544663</v>
      </c>
      <c r="N31" s="80">
        <f t="shared" si="10"/>
        <v>78.723404255319153</v>
      </c>
    </row>
    <row r="32" spans="1:14" ht="16" x14ac:dyDescent="0.2">
      <c r="A32">
        <v>4.2</v>
      </c>
      <c r="B32">
        <f t="shared" si="0"/>
        <v>1.218</v>
      </c>
      <c r="C32" s="80">
        <f t="shared" si="5"/>
        <v>54.91433724075744</v>
      </c>
      <c r="D32" s="80">
        <f t="shared" si="6"/>
        <v>80.769230769230759</v>
      </c>
      <c r="F32">
        <f t="shared" si="7"/>
        <v>4.2</v>
      </c>
      <c r="G32">
        <f t="shared" si="1"/>
        <v>0.96599999999999997</v>
      </c>
      <c r="H32" s="80">
        <f t="shared" si="2"/>
        <v>49.135300101729399</v>
      </c>
      <c r="I32" s="80">
        <f t="shared" si="3"/>
        <v>80.769230769230759</v>
      </c>
      <c r="K32">
        <f t="shared" si="8"/>
        <v>4.2</v>
      </c>
      <c r="L32">
        <f t="shared" si="4"/>
        <v>1.47</v>
      </c>
      <c r="M32" s="80">
        <f t="shared" si="9"/>
        <v>59.514170040485837</v>
      </c>
      <c r="N32" s="80">
        <f t="shared" si="10"/>
        <v>80.769230769230759</v>
      </c>
    </row>
    <row r="33" spans="1:14" ht="16" x14ac:dyDescent="0.2">
      <c r="A33">
        <v>5.2</v>
      </c>
      <c r="B33">
        <f t="shared" si="0"/>
        <v>1.508</v>
      </c>
      <c r="C33" s="80">
        <f t="shared" si="5"/>
        <v>60.127591706539079</v>
      </c>
      <c r="D33" s="80">
        <f t="shared" si="6"/>
        <v>83.870967741935488</v>
      </c>
      <c r="F33">
        <f t="shared" si="7"/>
        <v>5.2</v>
      </c>
      <c r="G33">
        <f t="shared" si="1"/>
        <v>1.196</v>
      </c>
      <c r="H33" s="80">
        <f t="shared" si="2"/>
        <v>54.462659380692173</v>
      </c>
      <c r="I33" s="80">
        <f t="shared" si="3"/>
        <v>83.870967741935488</v>
      </c>
      <c r="K33">
        <f t="shared" si="8"/>
        <v>5.2</v>
      </c>
      <c r="L33">
        <f t="shared" si="4"/>
        <v>1.8199999999999998</v>
      </c>
      <c r="M33" s="80">
        <f t="shared" si="9"/>
        <v>64.539007092198574</v>
      </c>
      <c r="N33" s="80">
        <f t="shared" si="10"/>
        <v>83.870967741935488</v>
      </c>
    </row>
    <row r="34" spans="1:14" ht="16" x14ac:dyDescent="0.2">
      <c r="A34">
        <v>6.2</v>
      </c>
      <c r="B34">
        <f t="shared" si="0"/>
        <v>1.7979999999999998</v>
      </c>
      <c r="C34" s="80">
        <f t="shared" si="5"/>
        <v>64.260185847033583</v>
      </c>
      <c r="D34" s="80">
        <f t="shared" si="6"/>
        <v>86.111111111111114</v>
      </c>
      <c r="F34">
        <f t="shared" si="7"/>
        <v>6.2</v>
      </c>
      <c r="G34">
        <f t="shared" si="1"/>
        <v>1.4259999999999999</v>
      </c>
      <c r="H34" s="80">
        <f t="shared" si="2"/>
        <v>58.779884583676825</v>
      </c>
      <c r="I34" s="80">
        <f t="shared" si="3"/>
        <v>86.111111111111114</v>
      </c>
      <c r="K34">
        <f t="shared" si="8"/>
        <v>6.2</v>
      </c>
      <c r="L34">
        <f t="shared" si="4"/>
        <v>2.17</v>
      </c>
      <c r="M34" s="80">
        <f t="shared" si="9"/>
        <v>68.454258675078862</v>
      </c>
      <c r="N34" s="80">
        <f t="shared" si="10"/>
        <v>86.111111111111114</v>
      </c>
    </row>
    <row r="35" spans="1:14" ht="16" x14ac:dyDescent="0.2">
      <c r="A35">
        <v>7.2</v>
      </c>
      <c r="B35">
        <f t="shared" si="0"/>
        <v>2.0880000000000001</v>
      </c>
      <c r="C35" s="80">
        <f t="shared" si="5"/>
        <v>67.616580310880835</v>
      </c>
      <c r="D35" s="80">
        <f t="shared" si="6"/>
        <v>87.804878048780495</v>
      </c>
      <c r="F35">
        <f t="shared" si="7"/>
        <v>7.2</v>
      </c>
      <c r="G35">
        <f t="shared" si="1"/>
        <v>1.6559999999999999</v>
      </c>
      <c r="H35" s="80">
        <f t="shared" si="2"/>
        <v>62.349397590361448</v>
      </c>
      <c r="I35" s="80">
        <f t="shared" si="3"/>
        <v>87.804878048780495</v>
      </c>
      <c r="K35">
        <f t="shared" si="8"/>
        <v>7.2</v>
      </c>
      <c r="L35">
        <f t="shared" si="4"/>
        <v>2.52</v>
      </c>
      <c r="M35" s="80">
        <f t="shared" si="9"/>
        <v>71.590909090909093</v>
      </c>
      <c r="N35" s="80">
        <f t="shared" si="10"/>
        <v>87.804878048780495</v>
      </c>
    </row>
    <row r="36" spans="1:14" ht="16" x14ac:dyDescent="0.2">
      <c r="A36">
        <v>10</v>
      </c>
      <c r="B36">
        <f t="shared" si="0"/>
        <v>2.9</v>
      </c>
      <c r="C36" s="80">
        <f t="shared" si="5"/>
        <v>74.358974358974365</v>
      </c>
      <c r="D36" s="80">
        <f t="shared" si="6"/>
        <v>90.909090909090907</v>
      </c>
      <c r="F36">
        <f t="shared" si="7"/>
        <v>10</v>
      </c>
      <c r="G36">
        <f t="shared" si="1"/>
        <v>2.2999999999999998</v>
      </c>
      <c r="H36" s="80">
        <f t="shared" si="2"/>
        <v>69.696969696969688</v>
      </c>
      <c r="I36" s="80">
        <f t="shared" si="3"/>
        <v>90.909090909090907</v>
      </c>
      <c r="K36">
        <f t="shared" si="8"/>
        <v>10</v>
      </c>
      <c r="L36">
        <f t="shared" si="4"/>
        <v>3.5</v>
      </c>
      <c r="M36" s="80">
        <f t="shared" si="9"/>
        <v>77.777777777777771</v>
      </c>
      <c r="N36" s="80">
        <f t="shared" si="10"/>
        <v>90.909090909090907</v>
      </c>
    </row>
    <row r="37" spans="1:14" ht="16" x14ac:dyDescent="0.2">
      <c r="A37">
        <v>20</v>
      </c>
      <c r="B37">
        <f t="shared" si="0"/>
        <v>5.8</v>
      </c>
      <c r="C37" s="80">
        <f t="shared" si="5"/>
        <v>85.294117647058826</v>
      </c>
      <c r="D37" s="80">
        <f t="shared" si="6"/>
        <v>95.238095238095241</v>
      </c>
      <c r="F37">
        <f t="shared" si="7"/>
        <v>20</v>
      </c>
      <c r="G37">
        <f t="shared" si="1"/>
        <v>4.5999999999999996</v>
      </c>
      <c r="H37" s="80">
        <f t="shared" si="2"/>
        <v>82.142857142857139</v>
      </c>
      <c r="I37" s="80">
        <f t="shared" si="3"/>
        <v>95.238095238095241</v>
      </c>
      <c r="K37">
        <f t="shared" si="8"/>
        <v>20</v>
      </c>
      <c r="L37">
        <f t="shared" si="4"/>
        <v>7</v>
      </c>
      <c r="M37" s="80">
        <f t="shared" si="9"/>
        <v>87.5</v>
      </c>
      <c r="N37" s="80">
        <f t="shared" si="10"/>
        <v>95.238095238095241</v>
      </c>
    </row>
    <row r="38" spans="1:14" ht="16" x14ac:dyDescent="0.2">
      <c r="A38">
        <v>40</v>
      </c>
      <c r="B38">
        <f t="shared" si="0"/>
        <v>11.6</v>
      </c>
      <c r="C38" s="80">
        <f t="shared" si="5"/>
        <v>92.063492063492063</v>
      </c>
      <c r="D38" s="80">
        <f t="shared" si="6"/>
        <v>97.560975609756099</v>
      </c>
      <c r="F38">
        <f t="shared" si="7"/>
        <v>40</v>
      </c>
      <c r="G38">
        <f t="shared" si="1"/>
        <v>9.1999999999999993</v>
      </c>
      <c r="H38" s="80">
        <f t="shared" si="2"/>
        <v>90.196078431372541</v>
      </c>
      <c r="I38" s="80">
        <f t="shared" si="3"/>
        <v>97.560975609756099</v>
      </c>
      <c r="K38">
        <f t="shared" si="8"/>
        <v>40</v>
      </c>
      <c r="L38">
        <f t="shared" si="4"/>
        <v>14</v>
      </c>
      <c r="M38" s="80">
        <f t="shared" si="9"/>
        <v>93.333333333333329</v>
      </c>
      <c r="N38" s="80">
        <f t="shared" si="10"/>
        <v>97.560975609756099</v>
      </c>
    </row>
    <row r="39" spans="1:14" ht="16" x14ac:dyDescent="0.2">
      <c r="A39">
        <v>80</v>
      </c>
      <c r="B39">
        <f t="shared" si="0"/>
        <v>23.2</v>
      </c>
      <c r="C39" s="80">
        <f t="shared" si="5"/>
        <v>95.867768595041326</v>
      </c>
      <c r="D39" s="80">
        <f t="shared" si="6"/>
        <v>98.76543209876543</v>
      </c>
      <c r="F39">
        <f t="shared" si="7"/>
        <v>80</v>
      </c>
      <c r="G39">
        <f t="shared" si="1"/>
        <v>18.399999999999999</v>
      </c>
      <c r="H39" s="80">
        <f t="shared" si="2"/>
        <v>94.845360824742258</v>
      </c>
      <c r="I39" s="80">
        <f t="shared" si="3"/>
        <v>98.76543209876543</v>
      </c>
      <c r="K39">
        <f t="shared" si="8"/>
        <v>80</v>
      </c>
      <c r="L39">
        <f t="shared" si="4"/>
        <v>28</v>
      </c>
      <c r="M39" s="80">
        <f t="shared" si="9"/>
        <v>96.551724137931032</v>
      </c>
      <c r="N39" s="80">
        <f t="shared" si="10"/>
        <v>98.76543209876543</v>
      </c>
    </row>
    <row r="40" spans="1:14" ht="16" x14ac:dyDescent="0.2">
      <c r="A40">
        <v>200</v>
      </c>
      <c r="B40">
        <f t="shared" si="0"/>
        <v>57.999999999999993</v>
      </c>
      <c r="C40" s="80">
        <f t="shared" si="5"/>
        <v>98.305084745762713</v>
      </c>
      <c r="D40" s="80">
        <f t="shared" si="6"/>
        <v>99.50248756218906</v>
      </c>
      <c r="F40">
        <f t="shared" si="7"/>
        <v>200</v>
      </c>
      <c r="G40">
        <f t="shared" si="1"/>
        <v>46</v>
      </c>
      <c r="H40" s="80">
        <f t="shared" si="2"/>
        <v>97.872340425531917</v>
      </c>
      <c r="I40" s="80">
        <f t="shared" si="3"/>
        <v>99.50248756218906</v>
      </c>
      <c r="K40">
        <f t="shared" si="8"/>
        <v>200</v>
      </c>
      <c r="L40">
        <f t="shared" si="4"/>
        <v>70</v>
      </c>
      <c r="M40" s="80">
        <f t="shared" si="9"/>
        <v>98.591549295774641</v>
      </c>
      <c r="N40" s="80">
        <f t="shared" si="10"/>
        <v>99.50248756218906</v>
      </c>
    </row>
    <row r="41" spans="1:14" ht="16" x14ac:dyDescent="0.2">
      <c r="A41">
        <v>1000</v>
      </c>
      <c r="B41">
        <f t="shared" si="0"/>
        <v>290</v>
      </c>
      <c r="C41" s="80">
        <f t="shared" si="5"/>
        <v>99.656357388316152</v>
      </c>
      <c r="D41" s="80">
        <f t="shared" si="6"/>
        <v>99.900099900099903</v>
      </c>
      <c r="F41">
        <f t="shared" si="7"/>
        <v>1000</v>
      </c>
      <c r="G41">
        <f t="shared" si="1"/>
        <v>229.99999999999997</v>
      </c>
      <c r="H41" s="80">
        <f>100*G41/(G41+1)</f>
        <v>99.567099567099561</v>
      </c>
      <c r="I41" s="80">
        <f t="shared" si="3"/>
        <v>99.900099900099903</v>
      </c>
      <c r="K41">
        <f t="shared" si="8"/>
        <v>1000</v>
      </c>
      <c r="L41">
        <f t="shared" si="4"/>
        <v>350</v>
      </c>
      <c r="M41" s="80">
        <f t="shared" si="9"/>
        <v>99.715099715099711</v>
      </c>
      <c r="N41" s="80">
        <f t="shared" si="10"/>
        <v>99.900099900099903</v>
      </c>
    </row>
    <row r="141" spans="1:72" s="83" customFormat="1" x14ac:dyDescent="0.1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83" customFormat="1" x14ac:dyDescent="0.1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83" customFormat="1" x14ac:dyDescent="0.1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83" customFormat="1" x14ac:dyDescent="0.1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honeticPr fontId="2" type="noConversion"/>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Instructions</vt:lpstr>
      <vt:lpstr>Opx-liquid Input &amp; Models</vt:lpstr>
      <vt:lpstr>Rhodes Diagram Calcs</vt:lpstr>
      <vt:lpstr>Rhodes Diagram</vt:lpstr>
    </vt:vector>
  </TitlesOfParts>
  <Company>CSUF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Putirka</dc:creator>
  <cp:lastModifiedBy>Microsoft Office User</cp:lastModifiedBy>
  <dcterms:created xsi:type="dcterms:W3CDTF">2008-10-11T15:41:57Z</dcterms:created>
  <dcterms:modified xsi:type="dcterms:W3CDTF">2021-03-06T21:04:11Z</dcterms:modified>
</cp:coreProperties>
</file>