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20" yWindow="0" windowWidth="19440" windowHeight="9500" tabRatio="500" activeTab="1"/>
  </bookViews>
  <sheets>
    <sheet name="Instructions" sheetId="1" r:id="rId1"/>
    <sheet name="Two-pyx Input &amp; Models" sheetId="2" r:id="rId2"/>
  </sheets>
  <definedNames/>
  <calcPr fullCalcOnLoad="1" iterate="1" iterateCount="100" iterateDelta="0.001"/>
</workbook>
</file>

<file path=xl/comments2.xml><?xml version="1.0" encoding="utf-8"?>
<comments xmlns="http://schemas.openxmlformats.org/spreadsheetml/2006/main">
  <authors>
    <author>Keith Putirka</author>
  </authors>
  <commentList>
    <comment ref="AN14" authorId="0">
      <text>
        <r>
          <rPr>
            <b/>
            <sz val="9"/>
            <rFont val="Verdana"/>
            <family val="0"/>
          </rPr>
          <t>Keith Putirka: This is a modified form of Eqn. 32; here the P coefficient is changed from 544 to 755 and the coefficient for the En activity term is changed from 0.395 to 3.5; these changes provide a much better fit to subsolidus T estimates, but provide poorer fits to pyroxenes from volcanic systems</t>
        </r>
        <r>
          <rPr>
            <sz val="9"/>
            <rFont val="Verdana"/>
            <family val="0"/>
          </rPr>
          <t xml:space="preserve">
</t>
        </r>
      </text>
    </comment>
    <comment ref="AI14" authorId="0">
      <text>
        <r>
          <rPr>
            <b/>
            <sz val="12"/>
            <rFont val="Verdana"/>
            <family val="0"/>
          </rPr>
          <t>Keith Putirka:</t>
        </r>
        <r>
          <rPr>
            <sz val="12"/>
            <rFont val="Verdana"/>
            <family val="0"/>
          </rPr>
          <t xml:space="preserve">
Eqn., 37 is for low Mg# cpx; use Eqn. 37 when Mg#(cpx)&lt;0.75 (See column AE). There is a typogrpahical error in the RiMG v. 69 Ch. 2.</t>
        </r>
      </text>
    </comment>
    <comment ref="AH14" authorId="0">
      <text>
        <r>
          <rPr>
            <b/>
            <sz val="12"/>
            <rFont val="Verdana"/>
            <family val="0"/>
          </rPr>
          <t>Keith Putirka:</t>
        </r>
        <r>
          <rPr>
            <sz val="12"/>
            <rFont val="Verdana"/>
            <family val="0"/>
          </rPr>
          <t xml:space="preserve">
This Eqn. is for cases where Mg#(cpx)&gt;0.75 (see column AE)</t>
        </r>
      </text>
    </comment>
    <comment ref="AO13" authorId="0">
      <text>
        <r>
          <rPr>
            <b/>
            <sz val="12"/>
            <rFont val="Verdana"/>
            <family val="0"/>
          </rPr>
          <t>Keith Putirka:</t>
        </r>
        <r>
          <rPr>
            <sz val="12"/>
            <rFont val="Verdana"/>
            <family val="0"/>
          </rPr>
          <t xml:space="preserve">
For subsolidus systems, a value of 0.7±0.2 is probably better. The 1.09 value is calibrated on both subsolidus and (mostly) igneous systems.</t>
        </r>
      </text>
    </comment>
  </commentList>
</comments>
</file>

<file path=xl/sharedStrings.xml><?xml version="1.0" encoding="utf-8"?>
<sst xmlns="http://schemas.openxmlformats.org/spreadsheetml/2006/main" count="307" uniqueCount="173">
  <si>
    <t>Eqn 37</t>
  </si>
  <si>
    <t>Barometers and Thermometers</t>
  </si>
  <si>
    <t>Putirka (2008) RiMG</t>
  </si>
  <si>
    <t>Gray field = input</t>
  </si>
  <si>
    <t>Blue field = output</t>
  </si>
  <si>
    <t>Two-Pyroxene thermometers and Barometers</t>
  </si>
  <si>
    <t>Observed</t>
  </si>
  <si>
    <t>2) OUTPUT AC - AH</t>
  </si>
  <si>
    <t>Experimental Compositions given  as examples</t>
  </si>
  <si>
    <t>Leave Blank</t>
  </si>
  <si>
    <t>LEPR</t>
  </si>
  <si>
    <t>Test for Equilibrium</t>
  </si>
  <si>
    <r>
      <t>(K</t>
    </r>
    <r>
      <rPr>
        <b/>
        <vertAlign val="subscript"/>
        <sz val="10"/>
        <rFont val="Verdana"/>
        <family val="2"/>
      </rPr>
      <t>D</t>
    </r>
    <r>
      <rPr>
        <b/>
        <sz val="10"/>
        <rFont val="Verdana"/>
        <family val="0"/>
      </rPr>
      <t xml:space="preserve"> should be 1.09±.14)</t>
    </r>
  </si>
  <si>
    <t>Schwab, B.E., Johnston, A.D. (2001)</t>
  </si>
  <si>
    <t>INT-E7</t>
  </si>
  <si>
    <t>INT-D5</t>
  </si>
  <si>
    <t>INT-D2</t>
  </si>
  <si>
    <t>Kinzler, R.J. (1997)</t>
  </si>
  <si>
    <t>L69</t>
  </si>
  <si>
    <t>H176</t>
  </si>
  <si>
    <t>Kinzler, R.J., Grove, T.L. (1992)</t>
  </si>
  <si>
    <t>H199</t>
  </si>
  <si>
    <t>H200</t>
  </si>
  <si>
    <t>Kogiso, T., Hirose, K., Takahashi (1998)</t>
  </si>
  <si>
    <t>KH-5</t>
  </si>
  <si>
    <t>1KH-39</t>
  </si>
  <si>
    <t>KH-7</t>
  </si>
  <si>
    <t>Falloon, T.J., Danyushevsky, L.V., Green, D.H. (2001)</t>
  </si>
  <si>
    <t>T-4125</t>
  </si>
  <si>
    <t>T-3981</t>
  </si>
  <si>
    <t>T-3980</t>
  </si>
  <si>
    <t>T-4126</t>
  </si>
  <si>
    <t>T-4271</t>
  </si>
  <si>
    <t>Falloon, T.J., Green, D.H., Danyushevsky, L.V., Faul, U.H. (1999)</t>
  </si>
  <si>
    <t>Gaetani, G.A., Grove, T.L. (1998)</t>
  </si>
  <si>
    <t>B304</t>
  </si>
  <si>
    <t>B333</t>
  </si>
  <si>
    <t>T(C ) Eqn 5</t>
  </si>
  <si>
    <t>Kf</t>
  </si>
  <si>
    <t>Eqn 38</t>
  </si>
  <si>
    <t>Bartels, K.S., Kinzler, R.J., Grove, T.L. (1991)</t>
  </si>
  <si>
    <t>HI 97</t>
  </si>
  <si>
    <t>H192</t>
  </si>
  <si>
    <t>Blatter, D.W., Carmichael, I.S.E. (2001)</t>
  </si>
  <si>
    <t>Z-342-02</t>
  </si>
  <si>
    <t>Z-342-21</t>
  </si>
  <si>
    <t>A-13</t>
  </si>
  <si>
    <t>Bulatov, V.K., Girnis, A.V., Brey, G.P. (2002)</t>
  </si>
  <si>
    <t>A-12</t>
  </si>
  <si>
    <t>R</t>
  </si>
  <si>
    <t>NOTE: WOOD AND BANNO AND WELLS MODELS WORK BETTER IF USE Al-TOT</t>
  </si>
  <si>
    <t>INSTEAD OF Al(VI) FOR CALC OF a(En)-cpx, and use Al(VI) for calc of a(En)-opx</t>
  </si>
  <si>
    <t>SiO2</t>
  </si>
  <si>
    <t>TiO2</t>
  </si>
  <si>
    <t>Al2O3</t>
  </si>
  <si>
    <t>FeO</t>
  </si>
  <si>
    <t>MnO</t>
  </si>
  <si>
    <t>MgO</t>
  </si>
  <si>
    <t>CaO</t>
  </si>
  <si>
    <t>Na2O</t>
  </si>
  <si>
    <t>K2O</t>
  </si>
  <si>
    <t>Cr2O3</t>
  </si>
  <si>
    <t>Models</t>
  </si>
  <si>
    <t>Clinopyroxene</t>
  </si>
  <si>
    <t>Enter Clinopyroxene Composition Here</t>
  </si>
  <si>
    <t>Enter Orthopyroxene Composition Here</t>
  </si>
  <si>
    <t>P(kbar)</t>
  </si>
  <si>
    <t>T(C )</t>
  </si>
  <si>
    <t>For Calculation inputs - iterative</t>
  </si>
  <si>
    <t>Orthopyroxene</t>
  </si>
  <si>
    <t>Orthpyroxene</t>
  </si>
  <si>
    <t>Nickel and Brey (1984)</t>
  </si>
  <si>
    <t>Sen and Jones (1989)</t>
  </si>
  <si>
    <t>Wood and Banno (1973)</t>
  </si>
  <si>
    <t>Sen (1985)</t>
  </si>
  <si>
    <t>Mercier et al. (1984)</t>
  </si>
  <si>
    <t>Carlson and Lindsley (1988)</t>
  </si>
  <si>
    <t>Brey and Kohler (1990)</t>
  </si>
  <si>
    <t>Wells (1977)</t>
  </si>
  <si>
    <t>Mole Proportions</t>
  </si>
  <si>
    <t>Numers of oxygens</t>
  </si>
  <si>
    <t>Cations on the basis of 6 oxygens</t>
  </si>
  <si>
    <t>Lindley</t>
  </si>
  <si>
    <t>Droop</t>
  </si>
  <si>
    <t xml:space="preserve"> (to be filled by Fe and Mg)</t>
  </si>
  <si>
    <t>use all Mg</t>
  </si>
  <si>
    <t>OPX COMPONENTS</t>
  </si>
  <si>
    <t>Nickel et al. 1985</t>
  </si>
  <si>
    <t>Use FmO</t>
  </si>
  <si>
    <t>Use Mg only</t>
  </si>
  <si>
    <t>KD1</t>
  </si>
  <si>
    <t>KD2</t>
  </si>
  <si>
    <t>Eqn. 32 modified</t>
  </si>
  <si>
    <t>Cpx-only</t>
  </si>
  <si>
    <t>Nimis and Taylor  (2000)</t>
  </si>
  <si>
    <t>T(C )</t>
  </si>
  <si>
    <t>P(kbar)</t>
  </si>
  <si>
    <t>Index</t>
  </si>
  <si>
    <t>Author (year)</t>
  </si>
  <si>
    <t>T (C)</t>
  </si>
  <si>
    <t>P (GPa)</t>
  </si>
  <si>
    <t>Oxy factor</t>
  </si>
  <si>
    <t>Al(IV)</t>
  </si>
  <si>
    <t>AL(VI)</t>
  </si>
  <si>
    <t>Al (total)</t>
  </si>
  <si>
    <t>Fe3+</t>
  </si>
  <si>
    <t>Jd</t>
  </si>
  <si>
    <t>CaTs</t>
  </si>
  <si>
    <t>CaTi</t>
  </si>
  <si>
    <t>CrCaTs</t>
  </si>
  <si>
    <t>DiHd (1996)</t>
  </si>
  <si>
    <t>EnFs</t>
  </si>
  <si>
    <t>En</t>
  </si>
  <si>
    <t>Di</t>
  </si>
  <si>
    <t>Comp sum</t>
  </si>
  <si>
    <t>DiHd (2003)</t>
  </si>
  <si>
    <t>Mg# cpx</t>
  </si>
  <si>
    <t>Fe2+</t>
  </si>
  <si>
    <t>a(En)-cpx</t>
  </si>
  <si>
    <r>
      <t>K</t>
    </r>
    <r>
      <rPr>
        <vertAlign val="subscript"/>
        <sz val="10"/>
        <rFont val="Verdana"/>
        <family val="0"/>
      </rPr>
      <t>D</t>
    </r>
    <r>
      <rPr>
        <sz val="10"/>
        <rFont val="Verdana"/>
        <family val="0"/>
      </rPr>
      <t>(Fe-Mg)</t>
    </r>
  </si>
  <si>
    <t>1) INPUT required in GRAY columns (C, G - P, and R - AA)</t>
  </si>
  <si>
    <t>3) Test for two-pyroxene equilibrium, column AI</t>
  </si>
  <si>
    <t>a(Di)-cpx</t>
  </si>
  <si>
    <t>X(En)</t>
  </si>
  <si>
    <t>NaAlSi2O6</t>
  </si>
  <si>
    <t>FmTiAlSiO6</t>
  </si>
  <si>
    <t>CrAl2SiO6</t>
  </si>
  <si>
    <t>FmAl2SiO6</t>
  </si>
  <si>
    <t>CaFmSi2O6</t>
  </si>
  <si>
    <t>Fm2Si2O6</t>
  </si>
  <si>
    <t>a(En)-opx</t>
  </si>
  <si>
    <t>a(Di)-opx</t>
  </si>
  <si>
    <t>X(Fe)opx</t>
  </si>
  <si>
    <t>comp sum</t>
  </si>
  <si>
    <t>KD</t>
  </si>
  <si>
    <t>T(A)</t>
  </si>
  <si>
    <t xml:space="preserve">T(A) </t>
  </si>
  <si>
    <t xml:space="preserve">T(B) </t>
  </si>
  <si>
    <t>T(B)</t>
  </si>
  <si>
    <t>P(kbar) 1</t>
  </si>
  <si>
    <t>P(kbar) 2</t>
  </si>
  <si>
    <t>WG1cpx</t>
  </si>
  <si>
    <t>WG2cpx</t>
  </si>
  <si>
    <t>WGOen</t>
  </si>
  <si>
    <t>TA</t>
  </si>
  <si>
    <t>TB</t>
  </si>
  <si>
    <t>T(BKN)</t>
  </si>
  <si>
    <t>Tca-in-opx</t>
  </si>
  <si>
    <t>T(D-Na)</t>
  </si>
  <si>
    <t>Experiment/Sample</t>
  </si>
  <si>
    <t>FeOt</t>
  </si>
  <si>
    <t>Clinopyroxene Composition - in Weight Percent</t>
  </si>
  <si>
    <t>Orthopyroxene Composition - in Weight Percent</t>
  </si>
  <si>
    <t>Eqn 39</t>
  </si>
  <si>
    <t>Cpx Components</t>
  </si>
  <si>
    <t>Eqn 36</t>
  </si>
  <si>
    <t>X(Mg) M1</t>
  </si>
  <si>
    <t>X(Fe) M1</t>
  </si>
  <si>
    <t>X(Mg) M2</t>
  </si>
  <si>
    <t>X(Fe) M2</t>
  </si>
  <si>
    <t>Mg#</t>
  </si>
  <si>
    <t>Bohlen and Essene (1979)</t>
  </si>
  <si>
    <t>AS-3</t>
  </si>
  <si>
    <t>Fodor and Galar (1997) Natural Compositions</t>
  </si>
  <si>
    <t>Modified (assign half of total Mg and Fe to each of M1 and M2)</t>
  </si>
  <si>
    <t>Wood and Banno modified</t>
  </si>
  <si>
    <t>Wood &amp; Banno (original; assign Mg and Fe as space remiaing after filling other M1 and M2 cations</t>
  </si>
  <si>
    <t>Wood and Banno Activities (modified))</t>
  </si>
  <si>
    <t>assign half of all Mg and Fe to M1 and M2</t>
  </si>
  <si>
    <t>Wood and Banno (original)</t>
  </si>
  <si>
    <t>(Mg and Fe in M1 and M2 = sites left after filling sites with other cations)</t>
  </si>
  <si>
    <t>Wood &amp; Banno (1979)</t>
  </si>
  <si>
    <t>Mg#(cpx)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</si>
</sst>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
  </numFmts>
  <fonts count="60">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4"/>
      <name val="Verdana"/>
      <family val="2"/>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vertAlign val="subscript"/>
      <sz val="10"/>
      <name val="Verdana"/>
      <family val="0"/>
    </font>
    <font>
      <b/>
      <vertAlign val="subscript"/>
      <sz val="10"/>
      <name val="Verdana"/>
      <family val="2"/>
    </font>
    <font>
      <b/>
      <sz val="12"/>
      <name val="Verdana"/>
      <family val="0"/>
    </font>
    <font>
      <sz val="9"/>
      <name val="Verdana"/>
      <family val="0"/>
    </font>
    <font>
      <b/>
      <sz val="9"/>
      <name val="Verdana"/>
      <family val="0"/>
    </font>
    <font>
      <sz val="12"/>
      <name val="Verdana"/>
      <family val="0"/>
    </font>
    <font>
      <b/>
      <sz val="12"/>
      <color indexed="8"/>
      <name val="Verdana"/>
      <family val="0"/>
    </font>
    <font>
      <sz val="12"/>
      <color indexed="8"/>
      <name val="Arial"/>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i/>
      <sz val="16"/>
      <color indexed="8"/>
      <name val="Calibri"/>
      <family val="0"/>
    </font>
    <font>
      <sz val="11"/>
      <color indexed="8"/>
      <name val="Calibri"/>
      <family val="0"/>
    </font>
    <font>
      <sz val="12"/>
      <color indexed="8"/>
      <name val="Calibri"/>
      <family val="0"/>
    </font>
    <font>
      <u val="single"/>
      <sz val="12"/>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10" xfId="0" applyFont="1" applyFill="1" applyBorder="1" applyAlignment="1">
      <alignment/>
    </xf>
    <xf numFmtId="16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left"/>
    </xf>
    <xf numFmtId="0" fontId="0" fillId="0" borderId="13"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horizontal="center"/>
    </xf>
    <xf numFmtId="0" fontId="0" fillId="0" borderId="13" xfId="0" applyFont="1" applyFill="1" applyBorder="1" applyAlignment="1">
      <alignment horizontal="left"/>
    </xf>
    <xf numFmtId="0" fontId="0" fillId="0" borderId="12" xfId="0" applyFont="1" applyFill="1" applyBorder="1" applyAlignment="1">
      <alignment/>
    </xf>
    <xf numFmtId="164" fontId="0" fillId="0" borderId="0" xfId="0" applyNumberFormat="1" applyFont="1" applyFill="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164" fontId="0" fillId="0" borderId="0" xfId="0" applyNumberFormat="1" applyFont="1" applyFill="1" applyAlignment="1">
      <alignment horizontal="center"/>
    </xf>
    <xf numFmtId="0" fontId="0" fillId="33" borderId="0" xfId="0" applyFont="1" applyFill="1" applyAlignment="1">
      <alignment horizontal="center"/>
    </xf>
    <xf numFmtId="0" fontId="0" fillId="34" borderId="0" xfId="0" applyFont="1" applyFill="1" applyAlignment="1">
      <alignment/>
    </xf>
    <xf numFmtId="0" fontId="7" fillId="34" borderId="16" xfId="0" applyFont="1" applyFill="1" applyBorder="1" applyAlignment="1">
      <alignment/>
    </xf>
    <xf numFmtId="0" fontId="0" fillId="34" borderId="16" xfId="0" applyFont="1" applyFill="1" applyBorder="1" applyAlignment="1">
      <alignment/>
    </xf>
    <xf numFmtId="165" fontId="0" fillId="34" borderId="0" xfId="0" applyNumberFormat="1" applyFont="1" applyFill="1" applyAlignment="1">
      <alignment horizontal="center"/>
    </xf>
    <xf numFmtId="165" fontId="0" fillId="34" borderId="16" xfId="0" applyNumberFormat="1" applyFont="1" applyFill="1" applyBorder="1" applyAlignment="1">
      <alignment horizontal="center"/>
    </xf>
    <xf numFmtId="165" fontId="0" fillId="34" borderId="0" xfId="0" applyNumberFormat="1" applyFont="1" applyFill="1" applyBorder="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Fill="1" applyAlignment="1">
      <alignment horizontal="left"/>
    </xf>
    <xf numFmtId="0" fontId="12" fillId="0" borderId="0" xfId="0" applyFont="1" applyFill="1" applyAlignment="1">
      <alignment horizontal="center"/>
    </xf>
    <xf numFmtId="0" fontId="9" fillId="0" borderId="18" xfId="0" applyFont="1" applyFill="1" applyBorder="1" applyAlignment="1">
      <alignment/>
    </xf>
    <xf numFmtId="0" fontId="9" fillId="0" borderId="19" xfId="0" applyFont="1" applyFill="1" applyBorder="1" applyAlignment="1">
      <alignment/>
    </xf>
    <xf numFmtId="0" fontId="13" fillId="33" borderId="0" xfId="0" applyFont="1" applyFill="1" applyAlignment="1">
      <alignment horizontal="left"/>
    </xf>
    <xf numFmtId="0" fontId="12" fillId="33" borderId="0" xfId="0" applyFont="1" applyFill="1" applyAlignment="1">
      <alignment/>
    </xf>
    <xf numFmtId="0" fontId="13" fillId="33" borderId="16" xfId="0" applyFont="1" applyFill="1" applyBorder="1" applyAlignment="1">
      <alignment horizontal="center"/>
    </xf>
    <xf numFmtId="0" fontId="0" fillId="0" borderId="16" xfId="0" applyFont="1" applyFill="1" applyBorder="1" applyAlignment="1">
      <alignment horizontal="left"/>
    </xf>
    <xf numFmtId="166" fontId="0" fillId="34" borderId="0" xfId="0" applyNumberFormat="1" applyFont="1" applyFill="1" applyAlignment="1">
      <alignment horizontal="center"/>
    </xf>
    <xf numFmtId="165" fontId="0" fillId="0" borderId="0" xfId="0" applyNumberFormat="1" applyFont="1" applyFill="1" applyBorder="1" applyAlignment="1">
      <alignment horizontal="center"/>
    </xf>
    <xf numFmtId="166" fontId="0" fillId="0" borderId="0" xfId="0" applyNumberFormat="1" applyFont="1" applyFill="1" applyAlignment="1">
      <alignment horizontal="center"/>
    </xf>
    <xf numFmtId="0" fontId="0" fillId="34" borderId="0" xfId="0" applyFont="1" applyFill="1" applyAlignment="1">
      <alignment horizontal="center"/>
    </xf>
    <xf numFmtId="0" fontId="0" fillId="33" borderId="16" xfId="0" applyFont="1" applyFill="1" applyBorder="1" applyAlignment="1">
      <alignment horizontal="center"/>
    </xf>
    <xf numFmtId="0" fontId="11" fillId="0" borderId="20" xfId="0" applyFont="1" applyFill="1" applyBorder="1" applyAlignment="1">
      <alignment/>
    </xf>
    <xf numFmtId="0" fontId="12" fillId="0" borderId="21" xfId="0" applyFont="1" applyFill="1" applyBorder="1" applyAlignment="1">
      <alignment horizontal="center"/>
    </xf>
    <xf numFmtId="0" fontId="13" fillId="33" borderId="0" xfId="0" applyFont="1" applyFill="1" applyBorder="1" applyAlignment="1">
      <alignment horizontal="center"/>
    </xf>
    <xf numFmtId="165" fontId="0" fillId="33" borderId="0" xfId="0" applyNumberFormat="1" applyFont="1" applyFill="1" applyAlignment="1">
      <alignment horizontal="center"/>
    </xf>
    <xf numFmtId="0" fontId="1" fillId="33" borderId="22" xfId="0" applyFont="1" applyFill="1" applyBorder="1" applyAlignment="1">
      <alignment/>
    </xf>
    <xf numFmtId="0" fontId="1" fillId="33" borderId="23" xfId="0" applyFont="1" applyFill="1" applyBorder="1" applyAlignment="1">
      <alignment/>
    </xf>
    <xf numFmtId="0" fontId="1" fillId="34" borderId="0" xfId="0" applyFont="1" applyFill="1" applyAlignment="1">
      <alignment horizontal="center"/>
    </xf>
    <xf numFmtId="0" fontId="16" fillId="34" borderId="0" xfId="0" applyFont="1" applyFill="1" applyAlignment="1">
      <alignment horizontal="center"/>
    </xf>
    <xf numFmtId="0" fontId="0" fillId="0" borderId="24" xfId="0" applyFont="1" applyFill="1" applyBorder="1" applyAlignment="1">
      <alignment horizontal="center"/>
    </xf>
    <xf numFmtId="165" fontId="0" fillId="0" borderId="0" xfId="0" applyNumberFormat="1" applyFont="1" applyFill="1" applyAlignment="1">
      <alignment/>
    </xf>
    <xf numFmtId="0" fontId="0" fillId="0" borderId="16" xfId="0" applyFont="1" applyFill="1" applyBorder="1" applyAlignment="1">
      <alignment horizontal="center"/>
    </xf>
    <xf numFmtId="164" fontId="0" fillId="0" borderId="0" xfId="0" applyNumberFormat="1" applyFont="1" applyFill="1" applyAlignment="1">
      <alignment horizontal="center"/>
    </xf>
    <xf numFmtId="164" fontId="0" fillId="0" borderId="0" xfId="0" applyNumberFormat="1" applyFont="1" applyFill="1" applyAlignment="1">
      <alignment/>
    </xf>
    <xf numFmtId="0" fontId="0" fillId="0" borderId="0" xfId="0" applyFont="1" applyFill="1" applyAlignment="1">
      <alignment/>
    </xf>
    <xf numFmtId="0" fontId="0" fillId="33" borderId="0" xfId="0" applyFont="1" applyFill="1" applyAlignment="1">
      <alignment horizontal="center"/>
    </xf>
    <xf numFmtId="0" fontId="0" fillId="35" borderId="0" xfId="0" applyFont="1" applyFill="1" applyAlignment="1">
      <alignment horizontal="center"/>
    </xf>
    <xf numFmtId="0" fontId="0" fillId="35" borderId="0" xfId="0" applyFont="1" applyFill="1" applyAlignment="1">
      <alignment/>
    </xf>
    <xf numFmtId="0" fontId="0" fillId="0" borderId="10" xfId="0" applyFont="1" applyFill="1" applyBorder="1" applyAlignment="1">
      <alignment/>
    </xf>
    <xf numFmtId="0" fontId="0" fillId="0" borderId="0" xfId="0" applyFont="1" applyFill="1" applyBorder="1" applyAlignment="1">
      <alignment horizontal="left"/>
    </xf>
    <xf numFmtId="0" fontId="0" fillId="0" borderId="13" xfId="0" applyFont="1" applyFill="1" applyBorder="1" applyAlignment="1">
      <alignment/>
    </xf>
    <xf numFmtId="165" fontId="0" fillId="34" borderId="0" xfId="0" applyNumberFormat="1" applyFont="1" applyFill="1" applyAlignment="1">
      <alignment horizontal="center"/>
    </xf>
    <xf numFmtId="165" fontId="0" fillId="34" borderId="16" xfId="0" applyNumberFormat="1" applyFont="1" applyFill="1" applyBorder="1" applyAlignment="1">
      <alignment horizontal="center"/>
    </xf>
    <xf numFmtId="166" fontId="12" fillId="33" borderId="0" xfId="0" applyNumberFormat="1" applyFont="1" applyFill="1" applyBorder="1" applyAlignment="1">
      <alignment horizontal="center"/>
    </xf>
    <xf numFmtId="166" fontId="20" fillId="33"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10</xdr:col>
      <xdr:colOff>600075</xdr:colOff>
      <xdr:row>43</xdr:row>
      <xdr:rowOff>123825</xdr:rowOff>
    </xdr:to>
    <xdr:sp>
      <xdr:nvSpPr>
        <xdr:cNvPr id="1" name="TextBox 1"/>
        <xdr:cNvSpPr txBox="1">
          <a:spLocks noChangeArrowheads="1"/>
        </xdr:cNvSpPr>
      </xdr:nvSpPr>
      <xdr:spPr>
        <a:xfrm>
          <a:off x="638175" y="323850"/>
          <a:ext cx="8343900" cy="6762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1" u="none" baseline="0">
              <a:solidFill>
                <a:srgbClr val="000000"/>
              </a:solidFill>
              <a:latin typeface="Calibri"/>
              <a:ea typeface="Calibri"/>
              <a:cs typeface="Calibri"/>
            </a:rPr>
            <a:t>Instructions for Estimating P and T Using Two-Pyroxene-based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clinopyroxene composition in columns G – P and an orthopyroxene composition in columns R – AA.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A thermometer by Brey and Kohler (1990) is shown in column AF. Two thermometers from the RiMG volume are shown in columns AH and AI. All these thermometers are P-sensitive and for input, use the P values entered in column AD. Column AD is set as a default to be the P calculated using equation 39, appearing in column AK. The two barometers from the RiMG volume 69 are given in columns AJ and AK, and both are T sensitive, using as input the T that is in column AC, which is from column AH (so in columns AC and AD these are the effective output when Eqns. 36 and 39 are solved simultaneously. The barometer of Eqn. 38 (AJ) is independent of T). To solve different models differently, change the reference of cells AC and AD. (For example, if you want to know the result when the T from Brey and Kohler is paired with Eqn. 38, then in cell AC16 type “=AF16” and in cell AD16 type “=AJ16” (without the quotation marks).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using the Fe-Mg exchange coefficient. The observed coefficient is given in column AL (assuming all Fe in both pyroxenes is Fe2+). The putative equilibrium value is 1.09</a:t>
          </a:r>
          <a:r>
            <a:rPr lang="en-US" cap="none" sz="1200" b="0" i="0" u="none" baseline="0">
              <a:solidFill>
                <a:srgbClr val="000000"/>
              </a:solidFill>
              <a:latin typeface="Calibri"/>
              <a:ea typeface="Calibri"/>
              <a:cs typeface="Calibri"/>
            </a:rPr>
            <a:t>±0.14, but subsolidus systems yield lower values, closer to 0.7±-0.2.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workbookViewId="0" topLeftCell="A4">
      <selection activeCell="F52" sqref="F52"/>
    </sheetView>
  </sheetViews>
  <sheetFormatPr defaultColWidth="11.00390625" defaultRowHeight="12.75"/>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GR44"/>
  <sheetViews>
    <sheetView tabSelected="1" workbookViewId="0" topLeftCell="A1">
      <selection activeCell="A1" sqref="A1"/>
    </sheetView>
  </sheetViews>
  <sheetFormatPr defaultColWidth="11.00390625" defaultRowHeight="12.75"/>
  <cols>
    <col min="1" max="1" width="47.375" style="1" customWidth="1"/>
    <col min="2" max="2" width="10.75390625" style="1" customWidth="1"/>
    <col min="3" max="3" width="18.625" style="1" customWidth="1"/>
    <col min="4" max="4" width="10.75390625" style="2" customWidth="1"/>
    <col min="5" max="5" width="4.25390625" style="2" customWidth="1"/>
    <col min="6" max="6" width="10.75390625" style="1" customWidth="1"/>
    <col min="7" max="8" width="10.75390625" style="2" customWidth="1"/>
    <col min="9" max="9" width="19.25390625" style="2" customWidth="1"/>
    <col min="10" max="16" width="10.75390625" style="2" customWidth="1"/>
    <col min="17" max="17" width="10.75390625" style="1" customWidth="1"/>
    <col min="18" max="21" width="14.625" style="1" customWidth="1"/>
    <col min="22" max="28" width="10.75390625" style="1" customWidth="1"/>
    <col min="29" max="29" width="12.25390625" style="1" customWidth="1"/>
    <col min="30" max="30" width="16.00390625" style="1" customWidth="1"/>
    <col min="31" max="31" width="10.75390625" style="1" customWidth="1"/>
    <col min="32" max="32" width="20.125" style="1" customWidth="1"/>
    <col min="33" max="33" width="3.875" style="1" customWidth="1"/>
    <col min="34" max="37" width="13.25390625" style="1" customWidth="1"/>
    <col min="38" max="38" width="16.25390625" style="1" customWidth="1"/>
    <col min="39" max="39" width="13.25390625" style="1" customWidth="1"/>
    <col min="40" max="40" width="14.75390625" style="1" customWidth="1"/>
    <col min="41" max="41" width="21.75390625" style="1" customWidth="1"/>
    <col min="42" max="42" width="10.75390625" style="1" customWidth="1"/>
    <col min="43" max="43" width="10.625" style="1" customWidth="1"/>
    <col min="44" max="69" width="10.75390625" style="1" customWidth="1"/>
    <col min="70" max="81" width="10.75390625" style="2" customWidth="1"/>
    <col min="82" max="82" width="13.25390625" style="1" customWidth="1"/>
    <col min="83" max="83" width="15.875" style="1" customWidth="1"/>
    <col min="84" max="94" width="10.75390625" style="1" customWidth="1"/>
    <col min="95" max="95" width="1.25" style="1" customWidth="1"/>
    <col min="96" max="98" width="10.75390625" style="1" customWidth="1"/>
    <col min="99" max="105" width="12.25390625" style="2" customWidth="1"/>
    <col min="106" max="106" width="24.375" style="2" customWidth="1"/>
    <col min="107" max="131" width="10.75390625" style="1" customWidth="1"/>
    <col min="132" max="143" width="10.75390625" style="2" customWidth="1"/>
    <col min="144" max="152" width="10.75390625" style="1" customWidth="1"/>
    <col min="153" max="153" width="7.25390625" style="1" customWidth="1"/>
    <col min="154" max="154" width="10.75390625" style="1" customWidth="1"/>
    <col min="155" max="155" width="9.875" style="1" customWidth="1"/>
    <col min="156" max="156" width="8.625" style="1" customWidth="1"/>
    <col min="157" max="157" width="7.875" style="1" customWidth="1"/>
    <col min="158" max="158" width="15.00390625" style="1" customWidth="1"/>
    <col min="159" max="163" width="11.875" style="2" customWidth="1"/>
    <col min="164" max="164" width="22.00390625" style="2" customWidth="1"/>
    <col min="165" max="165" width="10.75390625" style="1" customWidth="1"/>
    <col min="166" max="166" width="2.00390625" style="1" customWidth="1"/>
    <col min="167" max="167" width="5.125" style="1" customWidth="1"/>
    <col min="168" max="168" width="7.625" style="1" customWidth="1"/>
    <col min="169" max="169" width="2.00390625" style="1" customWidth="1"/>
    <col min="170" max="171" width="10.75390625" style="1" customWidth="1"/>
    <col min="172" max="172" width="1.12109375" style="1" customWidth="1"/>
    <col min="173" max="176" width="10.75390625" style="1" customWidth="1"/>
    <col min="177" max="177" width="8.625" style="1" customWidth="1"/>
    <col min="178" max="179" width="10.75390625" style="1" customWidth="1"/>
    <col min="180" max="180" width="2.125" style="1" customWidth="1"/>
    <col min="181" max="181" width="12.875" style="1" customWidth="1"/>
    <col min="182" max="182" width="10.75390625" style="1" customWidth="1"/>
    <col min="183" max="183" width="3.125" style="1" customWidth="1"/>
    <col min="184" max="185" width="10.75390625" style="1" customWidth="1"/>
    <col min="186" max="186" width="1.875" style="1" customWidth="1"/>
    <col min="187" max="191" width="10.75390625" style="1" customWidth="1"/>
    <col min="192" max="192" width="1.00390625" style="1" customWidth="1"/>
    <col min="193" max="194" width="10.75390625" style="1" customWidth="1"/>
    <col min="195" max="195" width="0.6171875" style="1" customWidth="1"/>
    <col min="196" max="196" width="10.625" style="1" customWidth="1"/>
    <col min="197" max="197" width="2.75390625" style="1" customWidth="1"/>
    <col min="198" max="199" width="6.75390625" style="1" customWidth="1"/>
    <col min="200" max="200" width="10.75390625" style="2" customWidth="1"/>
    <col min="201" max="16384" width="10.75390625" style="1" customWidth="1"/>
  </cols>
  <sheetData>
    <row r="1" spans="1:196" ht="22.5">
      <c r="A1" s="30" t="s">
        <v>5</v>
      </c>
      <c r="FQ1" s="1">
        <v>800</v>
      </c>
      <c r="FR1" s="1">
        <f>FQ1</f>
        <v>800</v>
      </c>
      <c r="GB1" s="1">
        <v>0</v>
      </c>
      <c r="GC1" s="1">
        <f>GB1</f>
        <v>0</v>
      </c>
      <c r="GE1" s="1" t="s">
        <v>49</v>
      </c>
      <c r="GH1" s="1">
        <v>0.0083143</v>
      </c>
      <c r="GN1" s="1" t="s">
        <v>50</v>
      </c>
    </row>
    <row r="2" ht="12.75">
      <c r="A2" s="31"/>
    </row>
    <row r="3" ht="22.5">
      <c r="A3" s="32" t="s">
        <v>3</v>
      </c>
    </row>
    <row r="4" ht="22.5">
      <c r="A4" s="32" t="s">
        <v>4</v>
      </c>
    </row>
    <row r="5" ht="12.75">
      <c r="A5" s="31"/>
    </row>
    <row r="6" ht="18">
      <c r="A6" s="33" t="s">
        <v>120</v>
      </c>
    </row>
    <row r="7" ht="18">
      <c r="A7" s="33" t="s">
        <v>7</v>
      </c>
    </row>
    <row r="8" ht="18">
      <c r="A8" s="33" t="s">
        <v>121</v>
      </c>
    </row>
    <row r="9" spans="1:196" ht="18">
      <c r="A9" s="33"/>
      <c r="AJ9" s="56"/>
      <c r="AS9" s="1">
        <v>60.0843</v>
      </c>
      <c r="AT9" s="1">
        <v>79.8788</v>
      </c>
      <c r="AU9" s="1">
        <v>101.961</v>
      </c>
      <c r="AV9" s="1">
        <v>71.8464</v>
      </c>
      <c r="AW9" s="1">
        <v>70.9375</v>
      </c>
      <c r="AX9" s="1">
        <v>40.3044</v>
      </c>
      <c r="AY9" s="1">
        <v>56.0774</v>
      </c>
      <c r="AZ9" s="1">
        <v>61.9789</v>
      </c>
      <c r="BA9" s="1">
        <v>94.196</v>
      </c>
      <c r="BB9" s="1">
        <f>52*2+3*15.9994</f>
        <v>151.9982</v>
      </c>
      <c r="FQ9" s="1">
        <v>1000</v>
      </c>
      <c r="FR9" s="1">
        <f>FQ9</f>
        <v>1000</v>
      </c>
      <c r="GB9" s="1">
        <v>10</v>
      </c>
      <c r="GC9" s="1">
        <f>GB9</f>
        <v>10</v>
      </c>
      <c r="GN9" s="1" t="s">
        <v>51</v>
      </c>
    </row>
    <row r="10" spans="45:185" ht="12.75">
      <c r="AS10" s="1" t="s">
        <v>52</v>
      </c>
      <c r="AT10" s="1" t="s">
        <v>53</v>
      </c>
      <c r="AU10" s="1" t="s">
        <v>54</v>
      </c>
      <c r="AV10" s="1" t="s">
        <v>55</v>
      </c>
      <c r="AW10" s="1" t="s">
        <v>56</v>
      </c>
      <c r="AX10" s="1" t="s">
        <v>57</v>
      </c>
      <c r="AY10" s="1" t="s">
        <v>58</v>
      </c>
      <c r="AZ10" s="1" t="s">
        <v>59</v>
      </c>
      <c r="BA10" s="1" t="s">
        <v>60</v>
      </c>
      <c r="BB10" s="1" t="s">
        <v>61</v>
      </c>
      <c r="FQ10" s="1">
        <v>1200</v>
      </c>
      <c r="FR10" s="1">
        <f>FQ10</f>
        <v>1200</v>
      </c>
      <c r="GB10" s="1">
        <v>20</v>
      </c>
      <c r="GC10" s="1">
        <f>GB10</f>
        <v>20</v>
      </c>
    </row>
    <row r="11" spans="32:185" ht="18">
      <c r="AF11" s="25" t="s">
        <v>1</v>
      </c>
      <c r="AG11" s="26"/>
      <c r="AH11" s="26"/>
      <c r="AI11" s="26"/>
      <c r="AJ11" s="26"/>
      <c r="AK11" s="26"/>
      <c r="AL11" s="26"/>
      <c r="AM11" s="26"/>
      <c r="AN11" s="26"/>
      <c r="AO11" s="26"/>
      <c r="AP11" s="11"/>
      <c r="AQ11" s="11"/>
      <c r="FN11" s="1" t="s">
        <v>62</v>
      </c>
      <c r="FQ11" s="1">
        <v>1600</v>
      </c>
      <c r="FR11" s="1">
        <f>FQ11</f>
        <v>1600</v>
      </c>
      <c r="GB11" s="1">
        <v>70</v>
      </c>
      <c r="GC11" s="1">
        <f>GB11</f>
        <v>70</v>
      </c>
    </row>
    <row r="12" spans="3:160" ht="18">
      <c r="C12"/>
      <c r="D12"/>
      <c r="G12" s="47" t="s">
        <v>64</v>
      </c>
      <c r="H12" s="36"/>
      <c r="I12" s="37"/>
      <c r="J12" s="1"/>
      <c r="K12" s="1"/>
      <c r="L12" s="1"/>
      <c r="M12" s="1"/>
      <c r="N12" s="1"/>
      <c r="O12" s="1"/>
      <c r="P12" s="1"/>
      <c r="R12" s="47" t="s">
        <v>65</v>
      </c>
      <c r="S12" s="36"/>
      <c r="T12" s="37"/>
      <c r="AF12" s="24"/>
      <c r="AG12" s="24"/>
      <c r="AH12" s="24"/>
      <c r="AI12" s="24"/>
      <c r="AJ12" s="24"/>
      <c r="AK12" s="24"/>
      <c r="AL12" s="24"/>
      <c r="AM12" s="24"/>
      <c r="AN12" s="24"/>
      <c r="AO12" s="54" t="s">
        <v>11</v>
      </c>
      <c r="AQ12" s="11"/>
      <c r="CR12" s="64" t="s">
        <v>167</v>
      </c>
      <c r="CS12" s="4"/>
      <c r="CT12" s="5"/>
      <c r="CU12" s="6"/>
      <c r="CV12" s="7"/>
      <c r="CW12" s="65" t="s">
        <v>169</v>
      </c>
      <c r="CX12" s="8"/>
      <c r="CY12" s="8"/>
      <c r="CZ12" s="8"/>
      <c r="DA12" s="8"/>
      <c r="DB12" s="8"/>
      <c r="FC12" s="22">
        <f>1-FC16</f>
        <v>0.1592991705979827</v>
      </c>
      <c r="FD12" s="2">
        <f>(EG16-EO16)/((EG16-EO16)+EI16)</f>
        <v>0.15929917059798274</v>
      </c>
    </row>
    <row r="13" spans="3:196" ht="15.75" thickBot="1">
      <c r="C13"/>
      <c r="D13"/>
      <c r="G13" s="1"/>
      <c r="H13" s="1"/>
      <c r="I13" s="1"/>
      <c r="J13" s="1"/>
      <c r="K13" s="1"/>
      <c r="L13" s="1"/>
      <c r="M13" s="1"/>
      <c r="N13" s="1"/>
      <c r="O13" s="1"/>
      <c r="P13" s="1"/>
      <c r="AF13" s="24" t="s">
        <v>77</v>
      </c>
      <c r="AG13" s="24"/>
      <c r="AH13" s="24" t="s">
        <v>2</v>
      </c>
      <c r="AI13" s="24"/>
      <c r="AJ13" s="24"/>
      <c r="AK13" s="24"/>
      <c r="AL13" s="24"/>
      <c r="AM13" s="24"/>
      <c r="AN13" s="54" t="s">
        <v>93</v>
      </c>
      <c r="AO13" s="53" t="s">
        <v>12</v>
      </c>
      <c r="AQ13" s="11"/>
      <c r="AS13" s="1" t="s">
        <v>63</v>
      </c>
      <c r="BE13" s="1" t="s">
        <v>63</v>
      </c>
      <c r="BR13" s="9" t="s">
        <v>63</v>
      </c>
      <c r="BS13" s="6"/>
      <c r="BT13" s="6"/>
      <c r="BU13" s="6"/>
      <c r="BV13" s="6"/>
      <c r="BW13" s="6"/>
      <c r="BX13" s="6"/>
      <c r="BY13" s="6"/>
      <c r="BZ13" s="6"/>
      <c r="CA13" s="6"/>
      <c r="CB13" s="6"/>
      <c r="CC13" s="7"/>
      <c r="CR13" s="66" t="s">
        <v>168</v>
      </c>
      <c r="CS13" s="11"/>
      <c r="CT13" s="11"/>
      <c r="CU13" s="8"/>
      <c r="CV13" s="12"/>
      <c r="CW13" s="65" t="s">
        <v>170</v>
      </c>
      <c r="CX13" s="8"/>
      <c r="CY13" s="8"/>
      <c r="CZ13" s="8"/>
      <c r="DA13" s="8"/>
      <c r="DB13" s="8"/>
      <c r="DC13" s="1" t="s">
        <v>69</v>
      </c>
      <c r="DO13" s="1" t="s">
        <v>70</v>
      </c>
      <c r="EB13" s="9" t="s">
        <v>69</v>
      </c>
      <c r="EC13" s="6"/>
      <c r="ED13" s="6"/>
      <c r="EE13" s="6"/>
      <c r="EF13" s="6"/>
      <c r="EG13" s="6"/>
      <c r="EH13" s="6"/>
      <c r="EI13" s="6"/>
      <c r="EJ13" s="6"/>
      <c r="EK13" s="6"/>
      <c r="EL13" s="6"/>
      <c r="EM13" s="7"/>
      <c r="EY13" s="60" t="s">
        <v>164</v>
      </c>
      <c r="FQ13" s="1" t="s">
        <v>71</v>
      </c>
      <c r="FV13" s="1" t="s">
        <v>72</v>
      </c>
      <c r="FY13" s="1" t="s">
        <v>73</v>
      </c>
      <c r="FZ13" s="1" t="s">
        <v>74</v>
      </c>
      <c r="GB13" s="1" t="s">
        <v>75</v>
      </c>
      <c r="GE13" s="1" t="s">
        <v>76</v>
      </c>
      <c r="GN13" s="1" t="s">
        <v>78</v>
      </c>
    </row>
    <row r="14" spans="1:179" ht="15" thickBot="1">
      <c r="A14" s="31" t="s">
        <v>8</v>
      </c>
      <c r="B14" s="34"/>
      <c r="C14" s="48" t="s">
        <v>9</v>
      </c>
      <c r="D14" s="48" t="s">
        <v>9</v>
      </c>
      <c r="E14" s="35"/>
      <c r="F14" s="34" t="s">
        <v>10</v>
      </c>
      <c r="G14" s="38" t="s">
        <v>151</v>
      </c>
      <c r="H14" s="39"/>
      <c r="I14" s="39"/>
      <c r="J14" s="39"/>
      <c r="K14" s="39"/>
      <c r="L14" s="39"/>
      <c r="M14" s="39"/>
      <c r="N14" s="39"/>
      <c r="O14" s="39"/>
      <c r="P14" s="39"/>
      <c r="R14" s="38" t="s">
        <v>152</v>
      </c>
      <c r="S14" s="39"/>
      <c r="T14" s="39"/>
      <c r="U14" s="39"/>
      <c r="V14" s="39"/>
      <c r="W14" s="39"/>
      <c r="X14" s="39"/>
      <c r="Y14" s="39"/>
      <c r="Z14" s="39"/>
      <c r="AA14" s="39"/>
      <c r="AC14" s="51" t="s">
        <v>68</v>
      </c>
      <c r="AD14" s="52"/>
      <c r="AF14" s="27" t="s">
        <v>146</v>
      </c>
      <c r="AG14" s="27"/>
      <c r="AH14" s="27" t="s">
        <v>155</v>
      </c>
      <c r="AI14" s="27" t="s">
        <v>0</v>
      </c>
      <c r="AJ14" s="27" t="s">
        <v>39</v>
      </c>
      <c r="AK14" s="27" t="s">
        <v>153</v>
      </c>
      <c r="AL14" s="67" t="s">
        <v>171</v>
      </c>
      <c r="AM14" s="67" t="s">
        <v>78</v>
      </c>
      <c r="AN14" s="27" t="s">
        <v>92</v>
      </c>
      <c r="AO14" s="45" t="s">
        <v>6</v>
      </c>
      <c r="AQ14" s="11"/>
      <c r="AS14" s="1" t="s">
        <v>79</v>
      </c>
      <c r="BE14" s="1" t="s">
        <v>80</v>
      </c>
      <c r="BR14" s="13" t="s">
        <v>81</v>
      </c>
      <c r="BS14" s="8"/>
      <c r="BT14" s="8"/>
      <c r="BU14" s="8"/>
      <c r="BV14" s="8"/>
      <c r="BW14" s="8"/>
      <c r="BX14" s="8"/>
      <c r="BY14" s="8"/>
      <c r="BZ14" s="8"/>
      <c r="CA14" s="8"/>
      <c r="CB14" s="8"/>
      <c r="CC14" s="12"/>
      <c r="CD14" s="1">
        <f>AVERAGE(CD17:CD710)</f>
        <v>4.001156940190026</v>
      </c>
      <c r="CE14" s="1" t="s">
        <v>82</v>
      </c>
      <c r="CF14" s="1" t="s">
        <v>83</v>
      </c>
      <c r="CG14" s="3" t="s">
        <v>154</v>
      </c>
      <c r="CH14" s="5"/>
      <c r="CI14" s="5"/>
      <c r="CJ14" s="5"/>
      <c r="CK14" s="5"/>
      <c r="CL14" s="5"/>
      <c r="CM14" s="5"/>
      <c r="CN14" s="14"/>
      <c r="CO14" s="1">
        <f>AVERAGE(CO17:CO710)</f>
        <v>0.9995832205433938</v>
      </c>
      <c r="CR14" s="10" t="s">
        <v>84</v>
      </c>
      <c r="CS14" s="11"/>
      <c r="CT14" s="11"/>
      <c r="CU14" s="8"/>
      <c r="CV14" s="12" t="s">
        <v>85</v>
      </c>
      <c r="CW14" s="12"/>
      <c r="CX14" s="12"/>
      <c r="CY14" s="12"/>
      <c r="CZ14" s="12"/>
      <c r="DA14" s="12"/>
      <c r="DB14" s="55" t="s">
        <v>94</v>
      </c>
      <c r="DC14" s="1" t="s">
        <v>79</v>
      </c>
      <c r="DO14" s="1" t="s">
        <v>80</v>
      </c>
      <c r="EB14" s="13" t="s">
        <v>81</v>
      </c>
      <c r="EC14" s="8"/>
      <c r="ED14" s="8"/>
      <c r="EE14" s="8"/>
      <c r="EF14" s="8"/>
      <c r="EG14" s="8"/>
      <c r="EH14" s="8"/>
      <c r="EI14" s="8"/>
      <c r="EJ14" s="8"/>
      <c r="EK14" s="8"/>
      <c r="EL14" s="8"/>
      <c r="EM14" s="12"/>
      <c r="EN14" s="1">
        <f>AVERAGE(EN17:EN710)</f>
        <v>3.9949662254154017</v>
      </c>
      <c r="EO14" s="1" t="s">
        <v>82</v>
      </c>
      <c r="EP14" s="1" t="s">
        <v>83</v>
      </c>
      <c r="EQ14" s="3" t="s">
        <v>86</v>
      </c>
      <c r="ER14" s="5"/>
      <c r="ES14" s="5"/>
      <c r="ET14" s="5"/>
      <c r="EU14" s="5"/>
      <c r="EV14" s="14"/>
      <c r="EY14" s="64" t="s">
        <v>165</v>
      </c>
      <c r="EZ14" s="5"/>
      <c r="FA14" s="5"/>
      <c r="FB14" s="14" t="s">
        <v>85</v>
      </c>
      <c r="FC14" s="8"/>
      <c r="FD14" s="65" t="s">
        <v>166</v>
      </c>
      <c r="FE14" s="8"/>
      <c r="FF14" s="8"/>
      <c r="FG14" s="8"/>
      <c r="FH14" s="8"/>
      <c r="FI14" s="15">
        <f>AVERAGE(FI17:FI39)</f>
        <v>0.9971511739686197</v>
      </c>
      <c r="FN14" s="1" t="s">
        <v>87</v>
      </c>
      <c r="FQ14" s="1" t="s">
        <v>88</v>
      </c>
      <c r="FR14" s="1" t="s">
        <v>89</v>
      </c>
      <c r="FS14" s="1" t="s">
        <v>88</v>
      </c>
      <c r="FT14" s="1" t="s">
        <v>89</v>
      </c>
      <c r="FV14" s="1" t="s">
        <v>90</v>
      </c>
      <c r="FW14" s="1" t="s">
        <v>91</v>
      </c>
    </row>
    <row r="15" spans="1:200" ht="15">
      <c r="A15" s="20" t="s">
        <v>98</v>
      </c>
      <c r="B15" s="41" t="s">
        <v>149</v>
      </c>
      <c r="C15" s="46" t="s">
        <v>100</v>
      </c>
      <c r="D15" s="17" t="s">
        <v>99</v>
      </c>
      <c r="E15" s="1"/>
      <c r="F15" s="20" t="s">
        <v>97</v>
      </c>
      <c r="G15" s="40" t="s">
        <v>52</v>
      </c>
      <c r="H15" s="40" t="s">
        <v>53</v>
      </c>
      <c r="I15" s="40" t="s">
        <v>54</v>
      </c>
      <c r="J15" s="40" t="s">
        <v>150</v>
      </c>
      <c r="K15" s="40" t="s">
        <v>56</v>
      </c>
      <c r="L15" s="40" t="s">
        <v>57</v>
      </c>
      <c r="M15" s="40" t="s">
        <v>58</v>
      </c>
      <c r="N15" s="40" t="s">
        <v>59</v>
      </c>
      <c r="O15" s="40" t="s">
        <v>60</v>
      </c>
      <c r="P15" s="40" t="s">
        <v>61</v>
      </c>
      <c r="R15" s="40" t="s">
        <v>52</v>
      </c>
      <c r="S15" s="40" t="s">
        <v>53</v>
      </c>
      <c r="T15" s="40" t="s">
        <v>54</v>
      </c>
      <c r="U15" s="40" t="s">
        <v>150</v>
      </c>
      <c r="V15" s="40" t="s">
        <v>56</v>
      </c>
      <c r="W15" s="40" t="s">
        <v>57</v>
      </c>
      <c r="X15" s="40" t="s">
        <v>58</v>
      </c>
      <c r="Y15" s="40" t="s">
        <v>59</v>
      </c>
      <c r="Z15" s="40" t="s">
        <v>60</v>
      </c>
      <c r="AA15" s="40" t="s">
        <v>61</v>
      </c>
      <c r="AC15" s="49" t="s">
        <v>67</v>
      </c>
      <c r="AD15" s="49" t="s">
        <v>66</v>
      </c>
      <c r="AE15" s="70" t="s">
        <v>172</v>
      </c>
      <c r="AF15" s="28" t="s">
        <v>95</v>
      </c>
      <c r="AG15" s="29"/>
      <c r="AH15" s="28" t="s">
        <v>95</v>
      </c>
      <c r="AI15" s="28" t="s">
        <v>95</v>
      </c>
      <c r="AJ15" s="28" t="s">
        <v>96</v>
      </c>
      <c r="AK15" s="28" t="s">
        <v>96</v>
      </c>
      <c r="AL15" s="68" t="s">
        <v>95</v>
      </c>
      <c r="AM15" s="68" t="s">
        <v>95</v>
      </c>
      <c r="AN15" s="28" t="s">
        <v>95</v>
      </c>
      <c r="AO15" s="28" t="s">
        <v>119</v>
      </c>
      <c r="AP15" s="43"/>
      <c r="AQ15" s="11" t="s">
        <v>38</v>
      </c>
      <c r="AS15" s="1" t="s">
        <v>52</v>
      </c>
      <c r="AT15" s="1" t="s">
        <v>53</v>
      </c>
      <c r="AU15" s="1" t="s">
        <v>54</v>
      </c>
      <c r="AV15" s="1" t="s">
        <v>55</v>
      </c>
      <c r="AW15" s="1" t="s">
        <v>56</v>
      </c>
      <c r="AX15" s="1" t="s">
        <v>57</v>
      </c>
      <c r="AY15" s="1" t="s">
        <v>58</v>
      </c>
      <c r="AZ15" s="1" t="s">
        <v>59</v>
      </c>
      <c r="BA15" s="1" t="s">
        <v>60</v>
      </c>
      <c r="BB15" s="1" t="s">
        <v>61</v>
      </c>
      <c r="BE15" s="1" t="s">
        <v>52</v>
      </c>
      <c r="BF15" s="1" t="s">
        <v>53</v>
      </c>
      <c r="BG15" s="1" t="s">
        <v>54</v>
      </c>
      <c r="BH15" s="1" t="s">
        <v>55</v>
      </c>
      <c r="BI15" s="1" t="s">
        <v>56</v>
      </c>
      <c r="BJ15" s="1" t="s">
        <v>57</v>
      </c>
      <c r="BK15" s="1" t="s">
        <v>58</v>
      </c>
      <c r="BL15" s="1" t="s">
        <v>59</v>
      </c>
      <c r="BM15" s="1" t="s">
        <v>60</v>
      </c>
      <c r="BN15" s="1" t="s">
        <v>61</v>
      </c>
      <c r="BP15" s="1" t="s">
        <v>101</v>
      </c>
      <c r="BR15" s="16" t="s">
        <v>52</v>
      </c>
      <c r="BS15" s="17" t="s">
        <v>53</v>
      </c>
      <c r="BT15" s="17" t="s">
        <v>102</v>
      </c>
      <c r="BU15" s="17" t="s">
        <v>103</v>
      </c>
      <c r="BV15" s="17" t="s">
        <v>104</v>
      </c>
      <c r="BW15" s="17" t="s">
        <v>55</v>
      </c>
      <c r="BX15" s="17" t="s">
        <v>56</v>
      </c>
      <c r="BY15" s="17" t="s">
        <v>57</v>
      </c>
      <c r="BZ15" s="17" t="s">
        <v>58</v>
      </c>
      <c r="CA15" s="17" t="s">
        <v>59</v>
      </c>
      <c r="CB15" s="17" t="s">
        <v>60</v>
      </c>
      <c r="CC15" s="18" t="s">
        <v>61</v>
      </c>
      <c r="CE15" s="1" t="s">
        <v>105</v>
      </c>
      <c r="CF15" s="1" t="s">
        <v>105</v>
      </c>
      <c r="CG15" s="19" t="s">
        <v>106</v>
      </c>
      <c r="CH15" s="20" t="s">
        <v>107</v>
      </c>
      <c r="CI15" s="20" t="s">
        <v>108</v>
      </c>
      <c r="CJ15" s="20" t="s">
        <v>109</v>
      </c>
      <c r="CK15" s="20" t="s">
        <v>110</v>
      </c>
      <c r="CL15" s="20" t="s">
        <v>111</v>
      </c>
      <c r="CM15" s="20" t="s">
        <v>112</v>
      </c>
      <c r="CN15" s="21" t="s">
        <v>113</v>
      </c>
      <c r="CO15" s="1" t="s">
        <v>114</v>
      </c>
      <c r="CP15" s="1" t="s">
        <v>115</v>
      </c>
      <c r="CR15" s="19" t="s">
        <v>116</v>
      </c>
      <c r="CS15" s="20" t="s">
        <v>117</v>
      </c>
      <c r="CT15" s="20" t="s">
        <v>118</v>
      </c>
      <c r="CU15" s="17" t="s">
        <v>122</v>
      </c>
      <c r="CV15" s="18" t="s">
        <v>123</v>
      </c>
      <c r="CW15" s="57" t="s">
        <v>156</v>
      </c>
      <c r="CX15" s="57" t="s">
        <v>157</v>
      </c>
      <c r="CY15" s="57" t="s">
        <v>158</v>
      </c>
      <c r="CZ15" s="57" t="s">
        <v>159</v>
      </c>
      <c r="DA15" s="57" t="s">
        <v>118</v>
      </c>
      <c r="DB15" s="17" t="s">
        <v>118</v>
      </c>
      <c r="DC15" s="1" t="s">
        <v>52</v>
      </c>
      <c r="DD15" s="1" t="s">
        <v>53</v>
      </c>
      <c r="DE15" s="1" t="s">
        <v>54</v>
      </c>
      <c r="DF15" s="1" t="s">
        <v>55</v>
      </c>
      <c r="DG15" s="1" t="s">
        <v>56</v>
      </c>
      <c r="DH15" s="1" t="s">
        <v>57</v>
      </c>
      <c r="DI15" s="1" t="s">
        <v>58</v>
      </c>
      <c r="DJ15" s="1" t="s">
        <v>59</v>
      </c>
      <c r="DK15" s="1" t="s">
        <v>60</v>
      </c>
      <c r="DL15" s="1" t="s">
        <v>61</v>
      </c>
      <c r="DO15" s="1" t="s">
        <v>52</v>
      </c>
      <c r="DP15" s="1" t="s">
        <v>53</v>
      </c>
      <c r="DQ15" s="1" t="s">
        <v>54</v>
      </c>
      <c r="DR15" s="1" t="s">
        <v>55</v>
      </c>
      <c r="DS15" s="1" t="s">
        <v>56</v>
      </c>
      <c r="DT15" s="1" t="s">
        <v>57</v>
      </c>
      <c r="DU15" s="1" t="s">
        <v>58</v>
      </c>
      <c r="DV15" s="1" t="s">
        <v>59</v>
      </c>
      <c r="DW15" s="1" t="s">
        <v>60</v>
      </c>
      <c r="DX15" s="1" t="s">
        <v>61</v>
      </c>
      <c r="DZ15" s="1" t="s">
        <v>101</v>
      </c>
      <c r="EB15" s="16" t="s">
        <v>52</v>
      </c>
      <c r="EC15" s="17" t="s">
        <v>53</v>
      </c>
      <c r="ED15" s="17" t="s">
        <v>102</v>
      </c>
      <c r="EE15" s="17" t="s">
        <v>103</v>
      </c>
      <c r="EF15" s="17" t="s">
        <v>104</v>
      </c>
      <c r="EG15" s="17" t="s">
        <v>55</v>
      </c>
      <c r="EH15" s="17" t="s">
        <v>56</v>
      </c>
      <c r="EI15" s="17" t="s">
        <v>57</v>
      </c>
      <c r="EJ15" s="17" t="s">
        <v>58</v>
      </c>
      <c r="EK15" s="17" t="s">
        <v>59</v>
      </c>
      <c r="EL15" s="17" t="s">
        <v>60</v>
      </c>
      <c r="EM15" s="18" t="s">
        <v>61</v>
      </c>
      <c r="EO15" s="1" t="s">
        <v>105</v>
      </c>
      <c r="EP15" s="1" t="s">
        <v>105</v>
      </c>
      <c r="EQ15" s="19" t="s">
        <v>124</v>
      </c>
      <c r="ER15" s="20" t="s">
        <v>125</v>
      </c>
      <c r="ES15" s="20" t="s">
        <v>126</v>
      </c>
      <c r="ET15" s="20" t="s">
        <v>127</v>
      </c>
      <c r="EU15" s="20" t="s">
        <v>128</v>
      </c>
      <c r="EV15" s="21" t="s">
        <v>129</v>
      </c>
      <c r="EW15" s="1" t="s">
        <v>112</v>
      </c>
      <c r="EX15" s="1" t="s">
        <v>113</v>
      </c>
      <c r="EY15" s="19" t="s">
        <v>130</v>
      </c>
      <c r="EZ15" s="20" t="s">
        <v>131</v>
      </c>
      <c r="FA15" s="20" t="s">
        <v>132</v>
      </c>
      <c r="FB15" s="21" t="s">
        <v>123</v>
      </c>
      <c r="FC15" s="57" t="s">
        <v>160</v>
      </c>
      <c r="FD15" s="57" t="s">
        <v>156</v>
      </c>
      <c r="FE15" s="57" t="s">
        <v>157</v>
      </c>
      <c r="FF15" s="57" t="s">
        <v>158</v>
      </c>
      <c r="FG15" s="57" t="s">
        <v>159</v>
      </c>
      <c r="FH15" s="57" t="s">
        <v>130</v>
      </c>
      <c r="FI15" s="1" t="s">
        <v>133</v>
      </c>
      <c r="FK15" s="1" t="s">
        <v>95</v>
      </c>
      <c r="FL15" s="1" t="s">
        <v>96</v>
      </c>
      <c r="FN15" s="1" t="s">
        <v>134</v>
      </c>
      <c r="FO15" s="1" t="s">
        <v>95</v>
      </c>
      <c r="FQ15" s="1" t="s">
        <v>135</v>
      </c>
      <c r="FR15" s="1" t="s">
        <v>136</v>
      </c>
      <c r="FS15" s="1" t="s">
        <v>137</v>
      </c>
      <c r="FT15" s="1" t="s">
        <v>138</v>
      </c>
      <c r="FV15" s="1" t="s">
        <v>95</v>
      </c>
      <c r="FW15" s="1" t="s">
        <v>95</v>
      </c>
      <c r="FY15" s="1" t="s">
        <v>95</v>
      </c>
      <c r="FZ15" s="1" t="s">
        <v>95</v>
      </c>
      <c r="GB15" s="1" t="s">
        <v>139</v>
      </c>
      <c r="GC15" s="1" t="s">
        <v>140</v>
      </c>
      <c r="GE15" s="1" t="s">
        <v>141</v>
      </c>
      <c r="GF15" s="1" t="s">
        <v>142</v>
      </c>
      <c r="GG15" s="1" t="s">
        <v>143</v>
      </c>
      <c r="GH15" s="1" t="s">
        <v>144</v>
      </c>
      <c r="GI15" s="1" t="s">
        <v>145</v>
      </c>
      <c r="GK15" s="1" t="s">
        <v>147</v>
      </c>
      <c r="GL15" s="1" t="s">
        <v>148</v>
      </c>
      <c r="GN15" s="1" t="s">
        <v>37</v>
      </c>
      <c r="GR15" s="2" t="s">
        <v>96</v>
      </c>
    </row>
    <row r="16" spans="1:200" ht="14.25">
      <c r="A16" s="1" t="s">
        <v>163</v>
      </c>
      <c r="C16" s="23"/>
      <c r="G16" s="23">
        <v>52.3</v>
      </c>
      <c r="H16" s="23">
        <v>0.7</v>
      </c>
      <c r="I16" s="23">
        <v>3</v>
      </c>
      <c r="J16" s="23">
        <v>5.1</v>
      </c>
      <c r="K16" s="23">
        <v>0.11</v>
      </c>
      <c r="L16" s="23">
        <v>16.6</v>
      </c>
      <c r="M16" s="23">
        <v>21.5</v>
      </c>
      <c r="N16" s="23">
        <v>0.33</v>
      </c>
      <c r="O16" s="23">
        <v>0</v>
      </c>
      <c r="P16" s="23">
        <v>0.58</v>
      </c>
      <c r="R16" s="23">
        <v>55</v>
      </c>
      <c r="S16" s="23">
        <v>0.34</v>
      </c>
      <c r="T16" s="23">
        <v>1.5</v>
      </c>
      <c r="U16" s="23">
        <v>11.3</v>
      </c>
      <c r="V16" s="23">
        <v>0.24</v>
      </c>
      <c r="W16" s="23">
        <v>30.7</v>
      </c>
      <c r="X16" s="23">
        <v>0.9</v>
      </c>
      <c r="Y16" s="23">
        <v>0.01</v>
      </c>
      <c r="Z16" s="23">
        <v>0</v>
      </c>
      <c r="AA16" s="23">
        <v>0.19</v>
      </c>
      <c r="AC16" s="50">
        <f>AH16</f>
        <v>985.3766685154498</v>
      </c>
      <c r="AD16" s="50">
        <f aca="true" t="shared" si="0" ref="AD16:AD39">AK16</f>
        <v>3.3808852332206865</v>
      </c>
      <c r="AE16" s="69">
        <f>AX16/(AX16+AV16)</f>
        <v>0.8529880946873882</v>
      </c>
      <c r="AF16" s="27">
        <f aca="true" t="shared" si="1" ref="AF16:AF40">-273.15+((23664+(24.9+126.3*BW16/(BW16+BY16))*AD16)/(13.38+(LN((1-BZ16/(1-CA16))/(1-EJ16/(1-EK16))))^2+11.59*EG16/(EG16+EI16)))</f>
        <v>969.4850522013386</v>
      </c>
      <c r="AG16" s="27"/>
      <c r="AH16" s="27">
        <f aca="true" t="shared" si="2" ref="AH16:AH40">10^4/(11.2-1.96*LN(CL16/EV16)-3.3*BZ16-25.8*CJ16+33.2*EH16-23.6*EK16-2.08*EW16-8.33*EX16-0.05*AD16)</f>
        <v>985.3766685154498</v>
      </c>
      <c r="AI16" s="27">
        <f aca="true" t="shared" si="3" ref="AI16:AI40">10^4/(13.4-3.4*LN(CL16/EV16)+5.59*LN(BY16)+23.85*EH16+6.48*ET16-2.38*CN16-0.044*AD16-8.8*BY16/(BY16+BW16))</f>
        <v>969.2166565763556</v>
      </c>
      <c r="AJ16" s="27">
        <f aca="true" t="shared" si="4" ref="AJ16:AJ40">-279.8+293*EE16+455*EK16+229*EM16+519*EV16-563*EW16+371*EX16+327*EY16+1.19/AQ16</f>
        <v>2.187906664891905</v>
      </c>
      <c r="AK16" s="27">
        <f aca="true" t="shared" si="5" ref="AK16:AK40">-94.25+0.045*AC16+187.7*EE16+246.8*EV16-212.5*EW16+127.5*EY16-69.4*CL16-133.9*CU16-1.66/AQ16</f>
        <v>3.3808852332206865</v>
      </c>
      <c r="AL16" s="27">
        <f>FY16</f>
        <v>1051.6100516872502</v>
      </c>
      <c r="AM16" s="27">
        <f>GN16</f>
        <v>1009.2263968584488</v>
      </c>
      <c r="AN16" s="29">
        <f aca="true" t="shared" si="6" ref="AN16:AN40">-273+(93100+755*AD16)/(61.1+36.6*BS16/4+10.9*BW16/4-0.95*(BT16+BU16+CC16-CA16-CB16)/4+3.5*LN(DB16)^2)</f>
        <v>968.5214372143789</v>
      </c>
      <c r="AO16" s="42">
        <f aca="true" t="shared" si="7" ref="AO16:AO40">(BW16/BY16)/(EG16/EI16)</f>
        <v>0.8346838682162275</v>
      </c>
      <c r="AP16" s="44"/>
      <c r="AQ16" s="1">
        <f aca="true" t="shared" si="8" ref="AQ16:AQ40">EJ16/(1-BZ16)</f>
        <v>0.21602181794080896</v>
      </c>
      <c r="AS16" s="1">
        <f aca="true" t="shared" si="9" ref="AS16:BB16">G16/AS$9</f>
        <v>0.8704436932776116</v>
      </c>
      <c r="AT16" s="1">
        <f t="shared" si="9"/>
        <v>0.008763276363690991</v>
      </c>
      <c r="AU16" s="1">
        <f t="shared" si="9"/>
        <v>0.029423014682084327</v>
      </c>
      <c r="AV16" s="1">
        <f t="shared" si="9"/>
        <v>0.07098476750400855</v>
      </c>
      <c r="AW16" s="1">
        <f t="shared" si="9"/>
        <v>0.0015506607929515418</v>
      </c>
      <c r="AX16" s="1">
        <f t="shared" si="9"/>
        <v>0.41186570200772127</v>
      </c>
      <c r="AY16" s="1">
        <f t="shared" si="9"/>
        <v>0.3833986597096157</v>
      </c>
      <c r="AZ16" s="1">
        <f t="shared" si="9"/>
        <v>0.00532439265621042</v>
      </c>
      <c r="BA16" s="1">
        <f t="shared" si="9"/>
        <v>0</v>
      </c>
      <c r="BB16" s="1">
        <f t="shared" si="9"/>
        <v>0.0038158346611999352</v>
      </c>
      <c r="BC16" s="1">
        <f>SUM(AS16:BB16)</f>
        <v>1.7855700016550942</v>
      </c>
      <c r="BE16" s="15">
        <f>AS16*2</f>
        <v>1.7408873865552232</v>
      </c>
      <c r="BF16" s="15">
        <f>AT16*2</f>
        <v>0.017526552727381982</v>
      </c>
      <c r="BG16" s="15">
        <f>AU16*3</f>
        <v>0.08826904404625298</v>
      </c>
      <c r="BH16" s="15">
        <f aca="true" t="shared" si="10" ref="BH16:BM16">AV16</f>
        <v>0.07098476750400855</v>
      </c>
      <c r="BI16" s="15">
        <f t="shared" si="10"/>
        <v>0.0015506607929515418</v>
      </c>
      <c r="BJ16" s="15">
        <f t="shared" si="10"/>
        <v>0.41186570200772127</v>
      </c>
      <c r="BK16" s="15">
        <f t="shared" si="10"/>
        <v>0.3833986597096157</v>
      </c>
      <c r="BL16" s="15">
        <f t="shared" si="10"/>
        <v>0.00532439265621042</v>
      </c>
      <c r="BM16" s="15">
        <f t="shared" si="10"/>
        <v>0</v>
      </c>
      <c r="BN16" s="15">
        <f>BB16*3</f>
        <v>0.011447503983599805</v>
      </c>
      <c r="BO16" s="15">
        <f>SUM(BE16:BN16)</f>
        <v>2.7312546699829654</v>
      </c>
      <c r="BP16" s="15">
        <f>6/BO16</f>
        <v>2.196792582523043</v>
      </c>
      <c r="BR16" s="22">
        <f>AS16*$BP16</f>
        <v>1.91218424889622</v>
      </c>
      <c r="BS16" s="22">
        <f>AT16*$BP16</f>
        <v>0.019251100514355874</v>
      </c>
      <c r="BT16" s="22">
        <f>2-BR16</f>
        <v>0.08781575110378004</v>
      </c>
      <c r="BU16" s="22">
        <f>IF(BV16-BT16&lt;0,0,BV16-BT16)</f>
        <v>0.041456769714358854</v>
      </c>
      <c r="BV16" s="22">
        <f>AU16*$BP16*2</f>
        <v>0.1292725208181389</v>
      </c>
      <c r="BW16" s="22">
        <f>AV16*$BP16</f>
        <v>0.1559388107249287</v>
      </c>
      <c r="BX16" s="22">
        <f>AW16*$BP16</f>
        <v>0.0034064801279652473</v>
      </c>
      <c r="BY16" s="22">
        <f>AX16*$BP16</f>
        <v>0.904783519166208</v>
      </c>
      <c r="BZ16" s="22">
        <f>AY16*$BP16</f>
        <v>0.84224733179936</v>
      </c>
      <c r="CA16" s="22">
        <f>AZ16*$BP16*2</f>
        <v>0.023393172587206426</v>
      </c>
      <c r="CB16" s="22">
        <f>BA16*$BP16*2</f>
        <v>0</v>
      </c>
      <c r="CC16" s="22">
        <f>BB16*$BP16*2</f>
        <v>0.016765194559716694</v>
      </c>
      <c r="CD16" s="15">
        <f>BR16+BS16+BV16+BW16+BX16+BY16+BZ16+CA16+CB16+CC16</f>
        <v>4.0072423791941</v>
      </c>
      <c r="CE16" s="15">
        <f>IF(CA16+BT16-BU16-2*BS16-CC16&gt;0,CA16+BT16-BU16-2*BS16-CC16,0)</f>
        <v>0.014484758388199168</v>
      </c>
      <c r="CF16" s="15">
        <f>12-48/CD16</f>
        <v>0.021687869638341795</v>
      </c>
      <c r="CG16" s="15">
        <f>IF(CA16&lt;BU16,CA16,BU16)</f>
        <v>0.023393172587206426</v>
      </c>
      <c r="CH16" s="15">
        <f>IF(BU16&gt;CA16,BU16-CA16,0)</f>
        <v>0.018063597127152428</v>
      </c>
      <c r="CI16" s="15">
        <f>IF(BT16&gt;CH16,(BT16-CH16)/2,0)</f>
        <v>0.034876076988313805</v>
      </c>
      <c r="CJ16" s="15">
        <f>CC16/2</f>
        <v>0.008382597279858347</v>
      </c>
      <c r="CK16" s="15">
        <f>IF(BZ16-CI16-CH16-CJ16&gt;0,BZ16-CI16-CH16-CJ16,0)</f>
        <v>0.7809250604040353</v>
      </c>
      <c r="CL16" s="15">
        <f>((BW16+BY16)-CK16)/2</f>
        <v>0.13989863474355074</v>
      </c>
      <c r="CM16" s="15">
        <f>CL16*(BY16/(BY16+BX16+BW16))</f>
        <v>0.11894986572870403</v>
      </c>
      <c r="CN16" s="15">
        <f>CP16*(BY16/(BY16+BX16+BW16))</f>
        <v>0.6639874023754353</v>
      </c>
      <c r="CO16" s="15">
        <f>SUM(CG16:CL16)</f>
        <v>1.005539139130117</v>
      </c>
      <c r="CP16" s="15">
        <f>BZ16-CH16-CI16-CJ16</f>
        <v>0.7809250604040353</v>
      </c>
      <c r="CQ16" s="15"/>
      <c r="CR16" s="1">
        <f>BY16/(BY16+CS16)</f>
        <v>0.8647973880984523</v>
      </c>
      <c r="CS16" s="15">
        <f>BW16-CE16</f>
        <v>0.14145405233672953</v>
      </c>
      <c r="CT16" s="59">
        <f>((0.5*BY16/(0.5*BY16+0.5*(BW16-CE16)+CA16+BZ16+BX16)))*(0.5*BY16/(0.5*BY16+0.5*(BW16-CE16)+CC16+BU16+BS16))</f>
        <v>0.24477044915611978</v>
      </c>
      <c r="CU16" s="22">
        <f>BZ16/(BZ16+0.5*BY16+0.5*(BW16-CE16)+BX16+CA16)</f>
        <v>0.6049906913301224</v>
      </c>
      <c r="CV16" s="22">
        <f>(BY16/(BZ16+BY16+BW16-CE16+BX16+CA16))*(BY16/(BW16+BV16+BS16+CC16+BY16))</f>
        <v>0.3486274965456865</v>
      </c>
      <c r="CW16" s="22">
        <f aca="true" t="shared" si="11" ref="CW16:CW40">(1-CE16-BU16-BS16-CC16)*CR16</f>
        <v>0.7852725028000829</v>
      </c>
      <c r="CX16" s="22">
        <f aca="true" t="shared" si="12" ref="CX16:CX40">(1-CE16-BU16-BS16-CC16)*(1-CR16)</f>
        <v>0.12276967402328656</v>
      </c>
      <c r="CY16" s="22">
        <f aca="true" t="shared" si="13" ref="CY16:CY40">(1-BZ16-CA16-BX16)*(CR16)</f>
        <v>0.11324782575544924</v>
      </c>
      <c r="CZ16" s="22">
        <f aca="true" t="shared" si="14" ref="CZ16:CZ40">(1-BZ16-CA16-BX16)*(1-CR16)</f>
        <v>0.01770518973001915</v>
      </c>
      <c r="DA16" s="22">
        <f aca="true" t="shared" si="15" ref="DA16:DA39">(CY16/(CY16+CZ16+BZ16+CA16+BX16))*(CW16/(CW16+CX16+CE16+BU16+BS16+CC16))</f>
        <v>0.08893040356764931</v>
      </c>
      <c r="DB16" s="22">
        <f aca="true" t="shared" si="16" ref="DB16:DB40">(1-BZ16-CA16-CB16)*(1-0.5*(BT16+BU16+CC16+CA16+CB16))</f>
        <v>0.12297717128927267</v>
      </c>
      <c r="DC16" s="1">
        <f aca="true" t="shared" si="17" ref="DC16:DC40">R16/AS$9</f>
        <v>0.915380556984104</v>
      </c>
      <c r="DD16" s="1">
        <f aca="true" t="shared" si="18" ref="DD16:DD40">S16/AT$9</f>
        <v>0.004256448519507053</v>
      </c>
      <c r="DE16" s="1">
        <f aca="true" t="shared" si="19" ref="DE16:DE40">T16/AU$9</f>
        <v>0.014711507341042164</v>
      </c>
      <c r="DF16" s="1">
        <f aca="true" t="shared" si="20" ref="DF16:DF40">U16/AV$9</f>
        <v>0.1572799750579013</v>
      </c>
      <c r="DG16" s="1">
        <f aca="true" t="shared" si="21" ref="DG16:DG40">V16/AW$9</f>
        <v>0.003383259911894273</v>
      </c>
      <c r="DH16" s="1">
        <f aca="true" t="shared" si="22" ref="DH16:DH40">W16/AX$9</f>
        <v>0.7617034368456049</v>
      </c>
      <c r="DI16" s="1">
        <f aca="true" t="shared" si="23" ref="DI16:DI40">X16/AY$9</f>
        <v>0.016049246220402515</v>
      </c>
      <c r="DJ16" s="1">
        <f aca="true" t="shared" si="24" ref="DJ16:DJ40">Y16/AZ$9</f>
        <v>0.00016134523200637637</v>
      </c>
      <c r="DK16" s="1">
        <f aca="true" t="shared" si="25" ref="DK16:DK40">Z16/BA$9</f>
        <v>0</v>
      </c>
      <c r="DL16" s="1">
        <f aca="true" t="shared" si="26" ref="DL16:DL40">AA16/BB$9</f>
        <v>0.0012500148028068755</v>
      </c>
      <c r="DM16" s="1">
        <f>SUM(DC16:DL16)</f>
        <v>1.8741757909152696</v>
      </c>
      <c r="DO16" s="15">
        <f>DC16*2</f>
        <v>1.830761113968208</v>
      </c>
      <c r="DP16" s="15">
        <f>DD16*2</f>
        <v>0.008512897039014106</v>
      </c>
      <c r="DQ16" s="15">
        <f>DE16*3</f>
        <v>0.04413452202312649</v>
      </c>
      <c r="DR16" s="15">
        <f aca="true" t="shared" si="27" ref="DR16:DW16">DF16</f>
        <v>0.1572799750579013</v>
      </c>
      <c r="DS16" s="15">
        <f t="shared" si="27"/>
        <v>0.003383259911894273</v>
      </c>
      <c r="DT16" s="15">
        <f t="shared" si="27"/>
        <v>0.7617034368456049</v>
      </c>
      <c r="DU16" s="15">
        <f t="shared" si="27"/>
        <v>0.016049246220402515</v>
      </c>
      <c r="DV16" s="15">
        <f t="shared" si="27"/>
        <v>0.00016134523200637637</v>
      </c>
      <c r="DW16" s="15">
        <f t="shared" si="27"/>
        <v>0</v>
      </c>
      <c r="DX16" s="15">
        <f>DL16*3</f>
        <v>0.0037500444084206264</v>
      </c>
      <c r="DY16" s="15">
        <f>SUM(DO16:DX16)</f>
        <v>2.8257358407065785</v>
      </c>
      <c r="DZ16" s="15">
        <f>6/DY16</f>
        <v>2.1233407290115602</v>
      </c>
      <c r="EB16" s="22">
        <f>DC16*$DZ16</f>
        <v>1.9436648191896355</v>
      </c>
      <c r="EC16" s="22">
        <f>DD16*$DZ16</f>
        <v>0.009037890502410283</v>
      </c>
      <c r="ED16" s="22">
        <f>2-EB16</f>
        <v>0.05633518081036448</v>
      </c>
      <c r="EE16" s="22">
        <f>IF(EF16-ED16&lt;0,0,EF16-ED16)</f>
        <v>0.006139904634410297</v>
      </c>
      <c r="EF16" s="22">
        <f>DE16*$DZ16*2</f>
        <v>0.06247508544477478</v>
      </c>
      <c r="EG16" s="22">
        <f>DF16*$DZ16</f>
        <v>0.3339589768983642</v>
      </c>
      <c r="EH16" s="22">
        <f>DG16*$DZ16</f>
        <v>0.007183813567757173</v>
      </c>
      <c r="EI16" s="22">
        <f>DH16*$DZ16</f>
        <v>1.6173559308823577</v>
      </c>
      <c r="EJ16" s="22">
        <f>DI16*$DZ16</f>
        <v>0.03407801816971551</v>
      </c>
      <c r="EK16" s="22">
        <f>DJ16*$DZ16*2</f>
        <v>0.0006851818051019171</v>
      </c>
      <c r="EL16" s="22">
        <f>DK16*$DZ16*2</f>
        <v>0</v>
      </c>
      <c r="EM16" s="22">
        <f>DL16*$DZ16*2</f>
        <v>0.005308414685334386</v>
      </c>
      <c r="EN16" s="15">
        <f>EB16+EC16+EF16+EG16+EH16+EI16+EJ16+EK16+EL16+EM16</f>
        <v>4.0137481311454515</v>
      </c>
      <c r="EO16" s="15">
        <f>IF(EK16+ED16-EE16-2*EC16-EM16&gt;0,EK16+ED16-EE16-2*EC16-EM16,0)</f>
        <v>0.02749626229090115</v>
      </c>
      <c r="EP16" s="15">
        <f>12-48/EN16</f>
        <v>0.04110312066301347</v>
      </c>
      <c r="EQ16" s="15">
        <f>EK16</f>
        <v>0.0006851818051019171</v>
      </c>
      <c r="ER16" s="15">
        <f>EC16</f>
        <v>0.009037890502410283</v>
      </c>
      <c r="ES16" s="15">
        <f>EM16</f>
        <v>0.005308414685334386</v>
      </c>
      <c r="ET16" s="15">
        <f>(EE16-EQ16-ES16)</f>
        <v>0.0001463081439739937</v>
      </c>
      <c r="EU16" s="15">
        <f>EJ16</f>
        <v>0.03407801816971551</v>
      </c>
      <c r="EV16" s="15">
        <f>((EG16+EI16+EH16)-ER16-ET16-EU16)/2</f>
        <v>0.9576182522661896</v>
      </c>
      <c r="EW16" s="15">
        <f>EV16*(EI16/(EI16+EG16+EH16))</f>
        <v>0.7908146903243942</v>
      </c>
      <c r="EX16" s="15">
        <f>EU16*(EI16/(EI16+EG16+EH16))</f>
        <v>0.02814210915673056</v>
      </c>
      <c r="EY16" s="59">
        <f>((0.5*EI16/(0.5*(EG16-EO16)+0.5*EI16+EK16+EJ16+EH16)))*(0.5*EI16/(0.5*EI16+0.5*(EG16-EO16)+EC16+EE16+EM16+EO16))</f>
        <v>0.6450669795758556</v>
      </c>
      <c r="EZ16" s="15">
        <f>EJ16/(EJ16+FF16+FG16+EH16+EK16)</f>
        <v>0.03407801816971551</v>
      </c>
      <c r="FA16" s="15">
        <f>(EG16-EO16)/((EG16-EO16)+EI16)</f>
        <v>0.15929917059798274</v>
      </c>
      <c r="FB16" s="15">
        <f>(EI16/(EJ16+EI16-EO16+EG16+EH16+EK16))*(EI16/(EO16+EG16-EO16+EF16+EC16+EM16+EI16))</f>
        <v>0.6561185691519387</v>
      </c>
      <c r="FC16" s="22">
        <f>EI16/(EI16+(EG16-EO16))</f>
        <v>0.8407008294020173</v>
      </c>
      <c r="FD16" s="22">
        <f>(1-EO16-EE16-EC16-EM16)*FC16</f>
        <v>0.8003619252998118</v>
      </c>
      <c r="FE16" s="22">
        <f>(1-EO16-EE16-EC16-EM16)*(1-FC16)</f>
        <v>0.15165560258713204</v>
      </c>
      <c r="FF16" s="22">
        <f>(1-EJ16-EK16-EH16)*FC16</f>
        <v>0.8054359403258371</v>
      </c>
      <c r="FG16" s="22">
        <f>(1-EJ16-EK16-EH16)*(1-FC16)</f>
        <v>0.15261704613158822</v>
      </c>
      <c r="FH16" s="58">
        <f>(FF16/(FF16+FG16+EJ16+EK16+EH16))*(FD16/(EO16+EC16+EE16+EM16+FD16+FE16))</f>
        <v>0.6446402599048514</v>
      </c>
      <c r="FI16" s="15">
        <f>SUM(EQ16:EV16)</f>
        <v>1.0068740655727257</v>
      </c>
      <c r="FK16" s="1">
        <f aca="true" t="shared" si="28" ref="FK16:FK40">D16</f>
        <v>0</v>
      </c>
      <c r="FL16" s="1">
        <f>GR16</f>
        <v>0</v>
      </c>
      <c r="FN16" s="1">
        <f aca="true" t="shared" si="29" ref="FN16:FN40">((1-BV16/2)*(1-BZ16))/((1-EF16/2)*(1-EJ16))</f>
        <v>0.15768772729023242</v>
      </c>
      <c r="FO16" s="1">
        <f>1616.67+287.935*LN(FN16)+2.933*FL16</f>
        <v>1084.814143988372</v>
      </c>
      <c r="FQ16" s="1">
        <f aca="true" t="shared" si="30" ref="FQ16:FQ40">(-7-FL16*0.06188+34*(EU16^2)-(21.905-FL16*0.05229)*CP16^2)/(0.0083143*LN(CL16/EV16)+0.004431*CP16^2-0.00397)</f>
        <v>1177.1984654281875</v>
      </c>
      <c r="FR16" s="1">
        <f aca="true" t="shared" si="31" ref="FR16:FR40">(-7-FL16*0.06188+34*(EX16^2)-(21.905-FL16*0.05229)*CN16^2)/(0.0083143*LN(CM16/EW16)+0.004431*CN16^2-0.00397)</f>
        <v>936.047907624914</v>
      </c>
      <c r="FS16" s="1">
        <f aca="true" t="shared" si="32" ref="FS16:FS40">(12.909+FL16*0.1633+34*EV16^2-(21.905-FL16*0.05229)*CL16^2)/(0.0083143*LN(CP16/EU16)+0.004431*CL16^2+0.0085)</f>
        <v>1260.8968491640676</v>
      </c>
      <c r="FT16" s="1">
        <f aca="true" t="shared" si="33" ref="FT16:FT40">(12.909+FL16*0.1633+34*EW16^2-(21.905-FL16*0.05229)*CM16^2)/(0.0083143*LN(CN16/EX16)+0.004431*CM16^2+0.0085)</f>
        <v>971.8198816033578</v>
      </c>
      <c r="FU16" s="1">
        <f>DA16/FH16</f>
        <v>0.13795353641234787</v>
      </c>
      <c r="FV16" s="1">
        <f>-273.15+(4900/(1.807-LN(FU16)))</f>
        <v>1020.4638124317927</v>
      </c>
      <c r="FW16" s="1">
        <f aca="true" t="shared" si="34" ref="FW16:FW40">-273.15+(7045/(2.47-LN(EZ16/CU16)))</f>
        <v>1044.519550126759</v>
      </c>
      <c r="FY16" s="1">
        <f>-273.15+(-10202/(LN(DA16/FH16)-7.65*(1-FC16)+3.88*(1-FC16)^2-4.6))</f>
        <v>1051.6100516872502</v>
      </c>
      <c r="FZ16" s="1">
        <f>-273.15+(3666/(0.8808-LN(EE16/(0.5*EI16))))</f>
        <v>363.1546080326408</v>
      </c>
      <c r="GB16" s="1">
        <f aca="true" t="shared" si="35" ref="GB16:GB40">10*(1.279/(EJ16/(1-BZ16)+0.006)-2.29)</f>
        <v>34.70695105834064</v>
      </c>
      <c r="GC16" s="1">
        <f aca="true" t="shared" si="36" ref="GC16:GC40">10*(1.073/(EJ16/(1-BZ16)+0.028)-1.65)</f>
        <v>27.47147800367063</v>
      </c>
      <c r="GE16" s="1">
        <f>26.23-0.02229*FL16</f>
        <v>26.23</v>
      </c>
      <c r="GF16" s="1">
        <f>32.44-0.08646*FL16</f>
        <v>32.44</v>
      </c>
      <c r="GG16" s="1">
        <f>28.6-1.749*FL16</f>
        <v>28.6</v>
      </c>
      <c r="GH16" s="1">
        <f aca="true" t="shared" si="37" ref="GH16:GH40">-273.15+((4.261+0.059*FL16+GE16*CU16^2*(1-2*DA16)+2*GF16*DA16*CU16^2-GG16*EZ16^2)/(0.002721-0.0083143*LN(DA16/FH16)))</f>
        <v>468.5062734516</v>
      </c>
      <c r="GI16" s="1">
        <f aca="true" t="shared" si="38" ref="GI16:GI40">-273.15+(-35.92-1.753*FL16+GF16*DA16^2*(1-2*CU16)+2*GE16*CU16*DA16^2-GG16*FH16^2)/(-0.02097-0.0083143*LN(CU16/EZ16))</f>
        <v>787.4767742125108</v>
      </c>
      <c r="GK16" s="1">
        <f>-273.15+(6425+26.4*FL16)/(-LN(EJ16)+1.843)</f>
        <v>957.1973008771246</v>
      </c>
      <c r="GL16" s="1">
        <f>-273.15+((35000+61.5*FL16)/((LN(EK16/CA16))^2+19.8))</f>
        <v>811.6323039739528</v>
      </c>
      <c r="GN16" s="1">
        <f>-273.15+(7341/(3.355+2.44*(1-FC16)-LN(DA16/FH16)))</f>
        <v>1009.2263968584488</v>
      </c>
      <c r="GP16" s="1">
        <f aca="true" t="shared" si="39" ref="GP16:GP40">IF(BY16/(BY16+BW16)&gt;0.7,AJ16,0)</f>
        <v>2.187906664891905</v>
      </c>
      <c r="GQ16" s="1">
        <f>IF(GP16=0,0,GP16-FL16)</f>
        <v>2.187906664891905</v>
      </c>
      <c r="GR16" s="2">
        <f aca="true" t="shared" si="40" ref="GR16:GR40">10*C16</f>
        <v>0</v>
      </c>
    </row>
    <row r="17" spans="1:200" ht="14.25">
      <c r="A17" s="1" t="s">
        <v>40</v>
      </c>
      <c r="B17" s="1" t="s">
        <v>41</v>
      </c>
      <c r="C17" s="23">
        <v>1.5</v>
      </c>
      <c r="D17" s="2">
        <v>1325</v>
      </c>
      <c r="F17" s="1">
        <v>4261</v>
      </c>
      <c r="G17" s="23">
        <v>51.7</v>
      </c>
      <c r="H17" s="23">
        <v>0.28</v>
      </c>
      <c r="I17" s="23">
        <v>8.38</v>
      </c>
      <c r="J17" s="23">
        <v>6.69</v>
      </c>
      <c r="K17" s="23">
        <v>0.15</v>
      </c>
      <c r="L17" s="23">
        <v>21.4</v>
      </c>
      <c r="M17" s="23">
        <v>11.7</v>
      </c>
      <c r="N17" s="23">
        <v>0.64</v>
      </c>
      <c r="O17" s="23">
        <v>0</v>
      </c>
      <c r="P17" s="23">
        <v>0.05</v>
      </c>
      <c r="R17" s="23">
        <v>52.7</v>
      </c>
      <c r="S17" s="23">
        <v>0.15</v>
      </c>
      <c r="T17" s="23">
        <v>8.1</v>
      </c>
      <c r="U17" s="23">
        <v>8.48</v>
      </c>
      <c r="V17" s="23">
        <v>0.14</v>
      </c>
      <c r="W17" s="23">
        <v>29.4</v>
      </c>
      <c r="X17" s="23">
        <v>2.14</v>
      </c>
      <c r="Y17" s="23">
        <v>0.14</v>
      </c>
      <c r="Z17" s="23">
        <v>0</v>
      </c>
      <c r="AA17" s="23">
        <v>0</v>
      </c>
      <c r="AC17" s="50">
        <f aca="true" t="shared" si="41" ref="AC17:AC39">AH17</f>
        <v>1303.931746836049</v>
      </c>
      <c r="AD17" s="50">
        <f t="shared" si="0"/>
        <v>15.878754353509716</v>
      </c>
      <c r="AE17" s="69">
        <f aca="true" t="shared" si="42" ref="AE17:AE40">AX17/(AX17+AV17)</f>
        <v>0.8507946069114033</v>
      </c>
      <c r="AF17" s="27">
        <f t="shared" si="1"/>
        <v>1320.3392019305543</v>
      </c>
      <c r="AG17" s="27"/>
      <c r="AH17" s="27">
        <f t="shared" si="2"/>
        <v>1303.931746836049</v>
      </c>
      <c r="AI17" s="27">
        <f t="shared" si="3"/>
        <v>1301.7311841206704</v>
      </c>
      <c r="AJ17" s="27">
        <f t="shared" si="4"/>
        <v>16.53565412520068</v>
      </c>
      <c r="AK17" s="27">
        <f t="shared" si="5"/>
        <v>15.878754353509716</v>
      </c>
      <c r="AL17" s="27">
        <f aca="true" t="shared" si="43" ref="AL17:AL40">FY17</f>
        <v>1387.0380176349859</v>
      </c>
      <c r="AM17" s="27">
        <f aca="true" t="shared" si="44" ref="AM17:AM40">GN17</f>
        <v>1433.895677641216</v>
      </c>
      <c r="AN17" s="29">
        <f t="shared" si="6"/>
        <v>1358.7865403327735</v>
      </c>
      <c r="AO17" s="42">
        <f t="shared" si="7"/>
        <v>1.0838366249338742</v>
      </c>
      <c r="AP17" s="44"/>
      <c r="AQ17" s="1">
        <f t="shared" si="8"/>
        <v>0.14263907225534256</v>
      </c>
      <c r="AS17" s="1">
        <f aca="true" t="shared" si="45" ref="AS17:AS39">G17/AS$9</f>
        <v>0.8604577235650578</v>
      </c>
      <c r="AT17" s="1">
        <f aca="true" t="shared" si="46" ref="AT17:AT39">H17/AT$9</f>
        <v>0.0035053105454763973</v>
      </c>
      <c r="AU17" s="1">
        <f aca="true" t="shared" si="47" ref="AU17:AU39">I17/AU$9</f>
        <v>0.08218828767862223</v>
      </c>
      <c r="AV17" s="1">
        <f aca="true" t="shared" si="48" ref="AV17:AV39">J17/AV$9</f>
        <v>0.09311531266702298</v>
      </c>
      <c r="AW17" s="1">
        <f aca="true" t="shared" si="49" ref="AW17:AW39">K17/AW$9</f>
        <v>0.0021145374449339205</v>
      </c>
      <c r="AX17" s="1">
        <f aca="true" t="shared" si="50" ref="AX17:AX39">L17/AX$9</f>
        <v>0.5309593989738093</v>
      </c>
      <c r="AY17" s="1">
        <f aca="true" t="shared" si="51" ref="AY17:AY39">M17/AY$9</f>
        <v>0.2086402008652327</v>
      </c>
      <c r="AZ17" s="1">
        <f aca="true" t="shared" si="52" ref="AZ17:AZ39">N17/AZ$9</f>
        <v>0.010326094848408088</v>
      </c>
      <c r="BA17" s="1">
        <f aca="true" t="shared" si="53" ref="BA17:BA39">O17/BA$9</f>
        <v>0</v>
      </c>
      <c r="BB17" s="1">
        <f aca="true" t="shared" si="54" ref="BB17:BB39">P17/BB$9</f>
        <v>0.0003289512638965462</v>
      </c>
      <c r="BC17" s="1">
        <f aca="true" t="shared" si="55" ref="BC17:BC22">SUM(AS17:BB17)</f>
        <v>1.7916358178524598</v>
      </c>
      <c r="BE17" s="15">
        <f aca="true" t="shared" si="56" ref="BE17:BF22">AS17*2</f>
        <v>1.7209154471301156</v>
      </c>
      <c r="BF17" s="15">
        <f t="shared" si="56"/>
        <v>0.007010621090952795</v>
      </c>
      <c r="BG17" s="15">
        <f aca="true" t="shared" si="57" ref="BG17:BG22">AU17*3</f>
        <v>0.24656486303586667</v>
      </c>
      <c r="BH17" s="15">
        <f aca="true" t="shared" si="58" ref="BH17:BM22">AV17</f>
        <v>0.09311531266702298</v>
      </c>
      <c r="BI17" s="15">
        <f t="shared" si="58"/>
        <v>0.0021145374449339205</v>
      </c>
      <c r="BJ17" s="15">
        <f t="shared" si="58"/>
        <v>0.5309593989738093</v>
      </c>
      <c r="BK17" s="15">
        <f t="shared" si="58"/>
        <v>0.2086402008652327</v>
      </c>
      <c r="BL17" s="15">
        <f t="shared" si="58"/>
        <v>0.010326094848408088</v>
      </c>
      <c r="BM17" s="15">
        <f t="shared" si="58"/>
        <v>0</v>
      </c>
      <c r="BN17" s="15">
        <f aca="true" t="shared" si="59" ref="BN17:BN22">BB17*3</f>
        <v>0.0009868537916896385</v>
      </c>
      <c r="BO17" s="15">
        <f aca="true" t="shared" si="60" ref="BO17:BO22">SUM(BE17:BN17)</f>
        <v>2.820633329848032</v>
      </c>
      <c r="BP17" s="15">
        <f aca="true" t="shared" si="61" ref="BP17:BP22">6/BO17</f>
        <v>2.127181841222611</v>
      </c>
      <c r="BR17" s="22">
        <f aca="true" t="shared" si="62" ref="BR17:BR39">AS17*$BP17</f>
        <v>1.830350044707336</v>
      </c>
      <c r="BS17" s="22">
        <f aca="true" t="shared" si="63" ref="BS17:BS39">AT17*$BP17</f>
        <v>0.007456432940183518</v>
      </c>
      <c r="BT17" s="22">
        <f aca="true" t="shared" si="64" ref="BT17:BT22">2-BR17</f>
        <v>0.16964995529266402</v>
      </c>
      <c r="BU17" s="22">
        <f aca="true" t="shared" si="65" ref="BU17:BU22">IF(BV17-BT17&lt;0,0,BV17-BT17)</f>
        <v>0.1800089109296265</v>
      </c>
      <c r="BV17" s="22">
        <f aca="true" t="shared" si="66" ref="BV17:BV39">AU17*$BP17*2</f>
        <v>0.34965886622229053</v>
      </c>
      <c r="BW17" s="22">
        <f aca="true" t="shared" si="67" ref="BW17:BW39">AV17*$BP17</f>
        <v>0.19807320224505706</v>
      </c>
      <c r="BX17" s="22">
        <f aca="true" t="shared" si="68" ref="BX17:BX39">AW17*$BP17</f>
        <v>0.004498005655448692</v>
      </c>
      <c r="BY17" s="22">
        <f aca="true" t="shared" si="69" ref="BY17:BY39">AX17*$BP17</f>
        <v>1.1294471919235585</v>
      </c>
      <c r="BZ17" s="22">
        <f aca="true" t="shared" si="70" ref="BZ17:BZ39">AY17*$BP17</f>
        <v>0.443815646629561</v>
      </c>
      <c r="CA17" s="22">
        <f aca="true" t="shared" si="71" ref="CA17:CA39">AZ17*$BP17*2</f>
        <v>0.04393096290455207</v>
      </c>
      <c r="CB17" s="22">
        <f aca="true" t="shared" si="72" ref="CB17:CB39">BA17*$BP17*2</f>
        <v>0</v>
      </c>
      <c r="CC17" s="22">
        <f aca="true" t="shared" si="73" ref="CC17:CC39">BB17*$BP17*2</f>
        <v>0.0013994783104159202</v>
      </c>
      <c r="CD17" s="15">
        <f aca="true" t="shared" si="74" ref="CD17:CD22">BR17+BS17+BV17+BW17+BX17+BY17+BZ17+CA17+CB17+CC17</f>
        <v>4.0086298315384035</v>
      </c>
      <c r="CE17" s="15">
        <f aca="true" t="shared" si="75" ref="CE17:CE22">IF(CA17+BT17-BU17-2*BS17-CC17&gt;0,CA17+BT17-BU17-2*BS17-CC17,0)</f>
        <v>0.01725966307680662</v>
      </c>
      <c r="CF17" s="15">
        <f aca="true" t="shared" si="76" ref="CF17:CF22">12-48/CD17</f>
        <v>0.025833759367374753</v>
      </c>
      <c r="CG17" s="15">
        <f aca="true" t="shared" si="77" ref="CG17:CG22">IF(CA17&lt;BU17,CA17,BU17)</f>
        <v>0.04393096290455207</v>
      </c>
      <c r="CH17" s="15">
        <f aca="true" t="shared" si="78" ref="CH17:CH22">IF(BU17&gt;CA17,BU17-CA17,0)</f>
        <v>0.13607794802507445</v>
      </c>
      <c r="CI17" s="15">
        <f aca="true" t="shared" si="79" ref="CI17:CI22">IF(BT17&gt;CH17,(BT17-CH17)/2,0)</f>
        <v>0.016786003633794788</v>
      </c>
      <c r="CJ17" s="15">
        <f aca="true" t="shared" si="80" ref="CJ17:CJ22">CC17/2</f>
        <v>0.0006997391552079601</v>
      </c>
      <c r="CK17" s="15">
        <f aca="true" t="shared" si="81" ref="CK17:CK22">IF(BZ17-CI17-CH17-CJ17&gt;0,BZ17-CI17-CH17-CJ17,0)</f>
        <v>0.29025195581548385</v>
      </c>
      <c r="CL17" s="15">
        <f aca="true" t="shared" si="82" ref="CL17:CL22">((BW17+BY17)-CK17)/2</f>
        <v>0.5186342191765658</v>
      </c>
      <c r="CM17" s="15">
        <f aca="true" t="shared" si="83" ref="CM17:CM22">CL17*(BY17/(BY17+BX17+BW17))</f>
        <v>0.43976116438167023</v>
      </c>
      <c r="CN17" s="15">
        <f aca="true" t="shared" si="84" ref="CN17:CN22">CP17*(BY17/(BY17+BX17+BW17))</f>
        <v>0.24611090694349172</v>
      </c>
      <c r="CO17" s="15">
        <f aca="true" t="shared" si="85" ref="CO17:CO22">SUM(CG17:CL17)</f>
        <v>1.0063808287106788</v>
      </c>
      <c r="CP17" s="15">
        <f aca="true" t="shared" si="86" ref="CP17:CP22">BZ17-CH17-CI17-CJ17</f>
        <v>0.29025195581548385</v>
      </c>
      <c r="CQ17" s="15"/>
      <c r="CR17" s="1">
        <f aca="true" t="shared" si="87" ref="CR17:CR22">BY17/(BY17+CS17)</f>
        <v>0.8620018635393409</v>
      </c>
      <c r="CS17" s="15">
        <f aca="true" t="shared" si="88" ref="CS17:CS22">BW17-CE17</f>
        <v>0.18081353916825044</v>
      </c>
      <c r="CT17" s="59">
        <f aca="true" t="shared" si="89" ref="CT17:CT40">((0.5*BY17/(0.5*BY17+0.5*(BW17-CE17)+CA17+BZ17+BX17)))*(0.5*BY17/(0.5*BY17+0.5*(BW17-CE17)+CC17+BU17+BS17))</f>
        <v>0.32932638178379314</v>
      </c>
      <c r="CU17" s="22">
        <f aca="true" t="shared" si="90" ref="CU17:CU40">BZ17/(BZ17+0.5*BY17+0.5*(BW17-CE17)+BX17+CA17)</f>
        <v>0.38680959065803894</v>
      </c>
      <c r="CV17" s="22">
        <f aca="true" t="shared" si="91" ref="CV17:CV22">(BY17/(BZ17+BY17+BW17-CE17+BX17+CA17))*(BY17/(BW17+BV17+BS17+CC17+BY17))</f>
        <v>0.41974803184923765</v>
      </c>
      <c r="CW17" s="22">
        <f t="shared" si="11"/>
        <v>0.6843221731266916</v>
      </c>
      <c r="CX17" s="22">
        <f t="shared" si="12"/>
        <v>0.10955334161627599</v>
      </c>
      <c r="CY17" s="22">
        <f t="shared" si="13"/>
        <v>0.43768608792873287</v>
      </c>
      <c r="CZ17" s="22">
        <f t="shared" si="14"/>
        <v>0.0700692968817053</v>
      </c>
      <c r="DA17" s="22">
        <f t="shared" si="15"/>
        <v>0.2995182948387107</v>
      </c>
      <c r="DB17" s="22">
        <f t="shared" si="16"/>
        <v>0.4110860844996327</v>
      </c>
      <c r="DC17" s="1">
        <f t="shared" si="17"/>
        <v>0.8771010064193142</v>
      </c>
      <c r="DD17" s="1">
        <f t="shared" si="18"/>
        <v>0.0018778449350766412</v>
      </c>
      <c r="DE17" s="1">
        <f t="shared" si="19"/>
        <v>0.07944213964162768</v>
      </c>
      <c r="DF17" s="1">
        <f t="shared" si="20"/>
        <v>0.11802957420274363</v>
      </c>
      <c r="DG17" s="1">
        <f t="shared" si="21"/>
        <v>0.001973568281938326</v>
      </c>
      <c r="DH17" s="1">
        <f t="shared" si="22"/>
        <v>0.7294488939172894</v>
      </c>
      <c r="DI17" s="1">
        <f t="shared" si="23"/>
        <v>0.038161541012957094</v>
      </c>
      <c r="DJ17" s="1">
        <f t="shared" si="24"/>
        <v>0.002258833248089269</v>
      </c>
      <c r="DK17" s="1">
        <f t="shared" si="25"/>
        <v>0</v>
      </c>
      <c r="DL17" s="1">
        <f t="shared" si="26"/>
        <v>0</v>
      </c>
      <c r="DM17" s="1">
        <f aca="true" t="shared" si="92" ref="DM17:DM22">SUM(DC17:DL17)</f>
        <v>1.8482934016590362</v>
      </c>
      <c r="DO17" s="15">
        <f aca="true" t="shared" si="93" ref="DO17:DP22">DC17*2</f>
        <v>1.7542020128386284</v>
      </c>
      <c r="DP17" s="15">
        <f t="shared" si="93"/>
        <v>0.0037556898701532823</v>
      </c>
      <c r="DQ17" s="15">
        <f aca="true" t="shared" si="94" ref="DQ17:DQ22">DE17*3</f>
        <v>0.23832641892488304</v>
      </c>
      <c r="DR17" s="15">
        <f aca="true" t="shared" si="95" ref="DR17:DW22">DF17</f>
        <v>0.11802957420274363</v>
      </c>
      <c r="DS17" s="15">
        <f t="shared" si="95"/>
        <v>0.001973568281938326</v>
      </c>
      <c r="DT17" s="15">
        <f t="shared" si="95"/>
        <v>0.7294488939172894</v>
      </c>
      <c r="DU17" s="15">
        <f t="shared" si="95"/>
        <v>0.038161541012957094</v>
      </c>
      <c r="DV17" s="15">
        <f t="shared" si="95"/>
        <v>0.002258833248089269</v>
      </c>
      <c r="DW17" s="15">
        <f t="shared" si="95"/>
        <v>0</v>
      </c>
      <c r="DX17" s="15">
        <f aca="true" t="shared" si="96" ref="DX17:DX22">DL17*3</f>
        <v>0</v>
      </c>
      <c r="DY17" s="15">
        <f aca="true" t="shared" si="97" ref="DY17:DY22">SUM(DO17:DX17)</f>
        <v>2.886156532296682</v>
      </c>
      <c r="DZ17" s="15">
        <f aca="true" t="shared" si="98" ref="DZ17:DZ22">6/DY17</f>
        <v>2.0788893231738377</v>
      </c>
      <c r="EB17" s="22">
        <f aca="true" t="shared" si="99" ref="EB17:EB39">DC17*$DZ17</f>
        <v>1.82339591759014</v>
      </c>
      <c r="EC17" s="22">
        <f aca="true" t="shared" si="100" ref="EC17:EC39">DD17*$DZ17</f>
        <v>0.003903831786106898</v>
      </c>
      <c r="ED17" s="22">
        <f aca="true" t="shared" si="101" ref="ED17:ED22">2-EB17</f>
        <v>0.17660408240986003</v>
      </c>
      <c r="EE17" s="22">
        <f aca="true" t="shared" si="102" ref="EE17:EE22">IF(EF17-ED17&lt;0,0,EF17-ED17)</f>
        <v>0.1536987494122697</v>
      </c>
      <c r="EF17" s="22">
        <f aca="true" t="shared" si="103" ref="EF17:EF39">DE17*$DZ17*2</f>
        <v>0.3303028318221297</v>
      </c>
      <c r="EG17" s="22">
        <f aca="true" t="shared" si="104" ref="EG17:EG39">DF17*$DZ17</f>
        <v>0.24537042162883796</v>
      </c>
      <c r="EH17" s="22">
        <f aca="true" t="shared" si="105" ref="EH17:EH39">DG17*$DZ17</f>
        <v>0.004102830029876121</v>
      </c>
      <c r="EI17" s="22">
        <f aca="true" t="shared" si="106" ref="EI17:EI39">DH17*$DZ17</f>
        <v>1.5164435173656183</v>
      </c>
      <c r="EJ17" s="22">
        <f aca="true" t="shared" si="107" ref="EJ17:EJ39">DI17*$DZ17</f>
        <v>0.07933362016769702</v>
      </c>
      <c r="EK17" s="22">
        <f aca="true" t="shared" si="108" ref="EK17:EK39">DJ17*$DZ17*2</f>
        <v>0.009391728644565724</v>
      </c>
      <c r="EL17" s="22">
        <f aca="true" t="shared" si="109" ref="EL17:EL39">DK17*$DZ17*2</f>
        <v>0</v>
      </c>
      <c r="EM17" s="22">
        <f aca="true" t="shared" si="110" ref="EM17:EM39">DL17*$DZ17*2</f>
        <v>0</v>
      </c>
      <c r="EN17" s="15">
        <f aca="true" t="shared" si="111" ref="EN17:EN22">EB17+EC17+EF17+EG17+EH17+EI17+EJ17+EK17+EL17+EM17</f>
        <v>4.012244699034971</v>
      </c>
      <c r="EO17" s="15">
        <f aca="true" t="shared" si="112" ref="EO17:EO22">IF(EK17+ED17-EE17-2*EC17-EM17&gt;0,EK17+ED17-EE17-2*EC17-EM17,0)</f>
        <v>0.02448939806994227</v>
      </c>
      <c r="EP17" s="15">
        <f aca="true" t="shared" si="113" ref="EP17:EP22">12-48/EN17</f>
        <v>0.03662199079108852</v>
      </c>
      <c r="EQ17" s="15">
        <f aca="true" t="shared" si="114" ref="EQ17:EQ22">EK17</f>
        <v>0.009391728644565724</v>
      </c>
      <c r="ER17" s="15">
        <f aca="true" t="shared" si="115" ref="ER17:ER22">EC17</f>
        <v>0.003903831786106898</v>
      </c>
      <c r="ES17" s="15">
        <f aca="true" t="shared" si="116" ref="ES17:ES22">EM17</f>
        <v>0</v>
      </c>
      <c r="ET17" s="15">
        <f aca="true" t="shared" si="117" ref="ET17:ET22">(EE17-EQ17-ES17)</f>
        <v>0.14430702076770396</v>
      </c>
      <c r="EU17" s="15">
        <f aca="true" t="shared" si="118" ref="EU17:EU22">EJ17</f>
        <v>0.07933362016769702</v>
      </c>
      <c r="EV17" s="15">
        <f aca="true" t="shared" si="119" ref="EV17:EV22">((EG17+EI17+EH17)-ER17-ET17-EU17)/2</f>
        <v>0.7691861481514123</v>
      </c>
      <c r="EW17" s="15">
        <f aca="true" t="shared" si="120" ref="EW17:EW22">EV17*(EI17/(EI17+EG17+EH17))</f>
        <v>0.6605222672278543</v>
      </c>
      <c r="EX17" s="15">
        <f aca="true" t="shared" si="121" ref="EX17:EX22">EU17*(EI17/(EI17+EG17+EH17))</f>
        <v>0.0681260612746312</v>
      </c>
      <c r="EY17" s="59">
        <f aca="true" t="shared" si="122" ref="EY17:EY40">((0.5*EI17/(0.5*(EG17-EO17)+0.5*EI17+EK17+EJ17+EH17)))*(0.5*EI17/(0.5*EI17+0.5*(EG17-EO17)+EC17+EE17+EM17+EO17))</f>
        <v>0.5690446657585179</v>
      </c>
      <c r="EZ17" s="15">
        <f aca="true" t="shared" si="123" ref="EZ17:EZ39">EJ17/(EJ17+FF17+FG17+EH17+EK17)</f>
        <v>0.07933362016769702</v>
      </c>
      <c r="FA17" s="15">
        <f aca="true" t="shared" si="124" ref="FA17:FA22">(EG17-EO17)/((EG17-EO17)+EI17)</f>
        <v>0.12713860787423995</v>
      </c>
      <c r="FB17" s="15">
        <f aca="true" t="shared" si="125" ref="FB17:FB22">(EI17/(EJ17+EI17-EO17+EG17+EH17+EK17))*(EI17/(EO17+EG17-EO17+EF17+EC17+EM17+EI17))</f>
        <v>0.5994729607303404</v>
      </c>
      <c r="FC17" s="22">
        <f aca="true" t="shared" si="126" ref="FC17:FC39">EI17/(EI17+(EG17-EO17))</f>
        <v>0.8728613921257601</v>
      </c>
      <c r="FD17" s="22">
        <f aca="true" t="shared" si="127" ref="FD17:FD39">(1-EO17-EE17-EC17-EM17)*FC17</f>
        <v>0.7139203336066802</v>
      </c>
      <c r="FE17" s="22">
        <f aca="true" t="shared" si="128" ref="FE17:FE39">(1-EO17-EE17-EC17-EM17)*(1-FC17)</f>
        <v>0.1039876871250009</v>
      </c>
      <c r="FF17" s="22">
        <f aca="true" t="shared" si="129" ref="FF17:FF39">(1-EJ17-EK17-EH17)*FC17</f>
        <v>0.7918352587131117</v>
      </c>
      <c r="FG17" s="22">
        <f aca="true" t="shared" si="130" ref="FG17:FG39">(1-EJ17-EK17-EH17)*(1-FC17)</f>
        <v>0.11533656244474941</v>
      </c>
      <c r="FH17" s="58">
        <f aca="true" t="shared" si="131" ref="FH17:FH39">(FF17/(FF17+FG17+EJ17+EK17+EH17))*(FD17/(EO17+EC17+EE17+EM17+FD17+FE17))</f>
        <v>0.5653072920619967</v>
      </c>
      <c r="FI17" s="15">
        <f aca="true" t="shared" si="132" ref="FI17:FI22">SUM(EQ17:EV17)</f>
        <v>1.0061223495174858</v>
      </c>
      <c r="FK17" s="1">
        <f t="shared" si="28"/>
        <v>1325</v>
      </c>
      <c r="FL17" s="1">
        <f aca="true" t="shared" si="133" ref="FL17:FL39">GR17</f>
        <v>15</v>
      </c>
      <c r="FN17" s="1">
        <f t="shared" si="29"/>
        <v>0.597107459321029</v>
      </c>
      <c r="FO17" s="1">
        <f aca="true" t="shared" si="134" ref="FO17:FO22">1616.67+287.935*LN(FN17)+2.933*FL17</f>
        <v>1512.188961099579</v>
      </c>
      <c r="FQ17" s="1">
        <f t="shared" si="30"/>
        <v>1381.1494651748965</v>
      </c>
      <c r="FR17" s="1">
        <f t="shared" si="31"/>
        <v>1277.5081621044612</v>
      </c>
      <c r="FS17" s="1">
        <f t="shared" si="32"/>
        <v>1455.0259374653015</v>
      </c>
      <c r="FT17" s="1">
        <f t="shared" si="33"/>
        <v>1303.0469827931074</v>
      </c>
      <c r="FU17" s="1">
        <f aca="true" t="shared" si="135" ref="FU17:FU40">DA17/FH17</f>
        <v>0.5298327105355344</v>
      </c>
      <c r="FV17" s="1">
        <f aca="true" t="shared" si="136" ref="FV17:FV22">-273.15+(4900/(1.807-LN(FU17)))</f>
        <v>1733.2426431390159</v>
      </c>
      <c r="FW17" s="1">
        <f t="shared" si="34"/>
        <v>1464.523867573555</v>
      </c>
      <c r="FY17" s="1">
        <f aca="true" t="shared" si="137" ref="FY17:FY40">-273.15+(-10202/(LN(DA17/FH17)-7.65*(1-FC17)+3.88*(1-FC17)^2-4.6))</f>
        <v>1387.0380176349859</v>
      </c>
      <c r="FZ17" s="1">
        <f aca="true" t="shared" si="138" ref="FZ17:FZ22">-273.15+(3666/(0.8808-LN(EE17/(0.5*EI17))))</f>
        <v>1206.9967824118462</v>
      </c>
      <c r="GB17" s="1">
        <f t="shared" si="35"/>
        <v>63.14736161181393</v>
      </c>
      <c r="GC17" s="1">
        <f t="shared" si="36"/>
        <v>46.38126076977105</v>
      </c>
      <c r="GE17" s="1">
        <f aca="true" t="shared" si="139" ref="GE17:GE22">26.23-0.02229*FL17</f>
        <v>25.89565</v>
      </c>
      <c r="GF17" s="1">
        <f aca="true" t="shared" si="140" ref="GF17:GF22">32.44-0.08646*FL17</f>
        <v>31.143099999999997</v>
      </c>
      <c r="GG17" s="1">
        <f aca="true" t="shared" si="141" ref="GG17:GG22">28.6-1.749*FL17</f>
        <v>2.3649999999999984</v>
      </c>
      <c r="GH17" s="1">
        <f t="shared" si="37"/>
        <v>911.023880776553</v>
      </c>
      <c r="GI17" s="1">
        <f t="shared" si="38"/>
        <v>1500.0592444827544</v>
      </c>
      <c r="GK17" s="1">
        <f aca="true" t="shared" si="142" ref="GK17:GK39">-273.15+(6425+26.4*FL17)/(-LN(EJ17)+1.843)</f>
        <v>1285.1901052062267</v>
      </c>
      <c r="GL17" s="1">
        <f>-273.15+((35000+61.5*FL17)/((LN(EK17/CA17))^2+19.8))</f>
        <v>1346.425043260524</v>
      </c>
      <c r="GN17" s="1">
        <f aca="true" t="shared" si="143" ref="GN17:GN40">-273.15+(7341/(3.355+2.44*(1-FC17)-LN(DA17/FH17)))</f>
        <v>1433.895677641216</v>
      </c>
      <c r="GP17" s="1">
        <f t="shared" si="39"/>
        <v>16.53565412520068</v>
      </c>
      <c r="GQ17" s="1">
        <f aca="true" t="shared" si="144" ref="GQ17:GQ39">IF(GP17=0,0,GP17-FL17)</f>
        <v>1.5356541252006792</v>
      </c>
      <c r="GR17" s="2">
        <f t="shared" si="40"/>
        <v>15</v>
      </c>
    </row>
    <row r="18" spans="1:200" ht="14.25">
      <c r="A18" s="1" t="s">
        <v>40</v>
      </c>
      <c r="B18" s="1" t="s">
        <v>42</v>
      </c>
      <c r="C18" s="23">
        <v>1.5</v>
      </c>
      <c r="D18" s="2">
        <v>1340</v>
      </c>
      <c r="F18" s="1">
        <v>4260</v>
      </c>
      <c r="G18" s="23">
        <v>51.5</v>
      </c>
      <c r="H18" s="23">
        <v>0.45</v>
      </c>
      <c r="I18" s="23">
        <v>8.1</v>
      </c>
      <c r="J18" s="23">
        <v>6.96</v>
      </c>
      <c r="K18" s="23">
        <v>0.17</v>
      </c>
      <c r="L18" s="23">
        <v>20.3</v>
      </c>
      <c r="M18" s="23">
        <v>12.6</v>
      </c>
      <c r="N18" s="23">
        <v>0.56</v>
      </c>
      <c r="O18" s="23">
        <v>0</v>
      </c>
      <c r="P18" s="23">
        <v>0.09</v>
      </c>
      <c r="R18" s="23">
        <v>53.2</v>
      </c>
      <c r="S18" s="23">
        <v>0.2</v>
      </c>
      <c r="T18" s="23">
        <v>7.4</v>
      </c>
      <c r="U18" s="23">
        <v>8.8</v>
      </c>
      <c r="V18" s="23">
        <v>0.13</v>
      </c>
      <c r="W18" s="23">
        <v>29.2</v>
      </c>
      <c r="X18" s="23">
        <v>2.37</v>
      </c>
      <c r="Y18" s="23">
        <v>0.14</v>
      </c>
      <c r="Z18" s="23">
        <v>0</v>
      </c>
      <c r="AA18" s="23">
        <v>0.02</v>
      </c>
      <c r="AC18" s="50">
        <f t="shared" si="41"/>
        <v>1300.2853359850662</v>
      </c>
      <c r="AD18" s="50">
        <f t="shared" si="0"/>
        <v>14.70263849337786</v>
      </c>
      <c r="AE18" s="69">
        <f t="shared" si="42"/>
        <v>0.8386897433886024</v>
      </c>
      <c r="AF18" s="27">
        <f t="shared" si="1"/>
        <v>1304.901404593284</v>
      </c>
      <c r="AG18" s="27"/>
      <c r="AH18" s="27">
        <f t="shared" si="2"/>
        <v>1300.2853359850662</v>
      </c>
      <c r="AI18" s="27">
        <f t="shared" si="3"/>
        <v>1298.5481783650869</v>
      </c>
      <c r="AJ18" s="27">
        <f t="shared" si="4"/>
        <v>14.45033912450603</v>
      </c>
      <c r="AK18" s="27">
        <f t="shared" si="5"/>
        <v>14.70263849337786</v>
      </c>
      <c r="AL18" s="27">
        <f t="shared" si="43"/>
        <v>1346.6910994122554</v>
      </c>
      <c r="AM18" s="27">
        <f t="shared" si="44"/>
        <v>1389.608687872274</v>
      </c>
      <c r="AN18" s="29">
        <f t="shared" si="6"/>
        <v>1334.2983472456465</v>
      </c>
      <c r="AO18" s="42">
        <f t="shared" si="7"/>
        <v>1.1376623376623378</v>
      </c>
      <c r="AP18" s="44"/>
      <c r="AQ18" s="1">
        <f t="shared" si="8"/>
        <v>0.1692475388184695</v>
      </c>
      <c r="AS18" s="1">
        <f t="shared" si="45"/>
        <v>0.8571290669942064</v>
      </c>
      <c r="AT18" s="1">
        <f t="shared" si="46"/>
        <v>0.0056335348052299235</v>
      </c>
      <c r="AU18" s="1">
        <f t="shared" si="47"/>
        <v>0.07944213964162768</v>
      </c>
      <c r="AV18" s="1">
        <f t="shared" si="48"/>
        <v>0.09687332977017638</v>
      </c>
      <c r="AW18" s="1">
        <f t="shared" si="49"/>
        <v>0.00239647577092511</v>
      </c>
      <c r="AX18" s="1">
        <f t="shared" si="50"/>
        <v>0.5036670934190808</v>
      </c>
      <c r="AY18" s="1">
        <f t="shared" si="51"/>
        <v>0.2246894470856352</v>
      </c>
      <c r="AZ18" s="1">
        <f t="shared" si="52"/>
        <v>0.009035332992357077</v>
      </c>
      <c r="BA18" s="1">
        <f t="shared" si="53"/>
        <v>0</v>
      </c>
      <c r="BB18" s="1">
        <f t="shared" si="54"/>
        <v>0.000592112275013783</v>
      </c>
      <c r="BC18" s="1">
        <f t="shared" si="55"/>
        <v>1.7794585327542527</v>
      </c>
      <c r="BE18" s="15">
        <f t="shared" si="56"/>
        <v>1.7142581339884129</v>
      </c>
      <c r="BF18" s="15">
        <f t="shared" si="56"/>
        <v>0.011267069610459847</v>
      </c>
      <c r="BG18" s="15">
        <f t="shared" si="57"/>
        <v>0.23832641892488304</v>
      </c>
      <c r="BH18" s="15">
        <f t="shared" si="58"/>
        <v>0.09687332977017638</v>
      </c>
      <c r="BI18" s="15">
        <f t="shared" si="58"/>
        <v>0.00239647577092511</v>
      </c>
      <c r="BJ18" s="15">
        <f t="shared" si="58"/>
        <v>0.5036670934190808</v>
      </c>
      <c r="BK18" s="15">
        <f t="shared" si="58"/>
        <v>0.2246894470856352</v>
      </c>
      <c r="BL18" s="15">
        <f t="shared" si="58"/>
        <v>0.009035332992357077</v>
      </c>
      <c r="BM18" s="15">
        <f t="shared" si="58"/>
        <v>0</v>
      </c>
      <c r="BN18" s="15">
        <f t="shared" si="59"/>
        <v>0.001776336825041349</v>
      </c>
      <c r="BO18" s="15">
        <f t="shared" si="60"/>
        <v>2.8022896383869713</v>
      </c>
      <c r="BP18" s="15">
        <f t="shared" si="61"/>
        <v>2.1411063002943784</v>
      </c>
      <c r="BR18" s="22">
        <f t="shared" si="62"/>
        <v>1.8352044455067378</v>
      </c>
      <c r="BS18" s="22">
        <f t="shared" si="63"/>
        <v>0.012061996864405454</v>
      </c>
      <c r="BT18" s="22">
        <f t="shared" si="64"/>
        <v>0.16479555449326222</v>
      </c>
      <c r="BU18" s="22">
        <f t="shared" si="65"/>
        <v>0.17539257689784743</v>
      </c>
      <c r="BV18" s="22">
        <f t="shared" si="66"/>
        <v>0.34018813139110965</v>
      </c>
      <c r="BW18" s="22">
        <f t="shared" si="67"/>
        <v>0.2074160967014196</v>
      </c>
      <c r="BX18" s="22">
        <f t="shared" si="68"/>
        <v>0.0051311093716305805</v>
      </c>
      <c r="BY18" s="22">
        <f t="shared" si="69"/>
        <v>1.078404786970551</v>
      </c>
      <c r="BZ18" s="22">
        <f t="shared" si="70"/>
        <v>0.4810839907647139</v>
      </c>
      <c r="CA18" s="22">
        <f t="shared" si="71"/>
        <v>0.03869121679038679</v>
      </c>
      <c r="CB18" s="22">
        <f t="shared" si="72"/>
        <v>0</v>
      </c>
      <c r="CC18" s="22">
        <f t="shared" si="73"/>
        <v>0.002535550645027297</v>
      </c>
      <c r="CD18" s="15">
        <f t="shared" si="74"/>
        <v>4.000717325005981</v>
      </c>
      <c r="CE18" s="15">
        <f t="shared" si="75"/>
        <v>0.00143465001196337</v>
      </c>
      <c r="CF18" s="15">
        <f t="shared" si="76"/>
        <v>0.002151589170765078</v>
      </c>
      <c r="CG18" s="15">
        <f t="shared" si="77"/>
        <v>0.03869121679038679</v>
      </c>
      <c r="CH18" s="15">
        <f t="shared" si="78"/>
        <v>0.13670136010746065</v>
      </c>
      <c r="CI18" s="15">
        <f t="shared" si="79"/>
        <v>0.014047097192900787</v>
      </c>
      <c r="CJ18" s="15">
        <f t="shared" si="80"/>
        <v>0.0012677753225136484</v>
      </c>
      <c r="CK18" s="15">
        <f t="shared" si="81"/>
        <v>0.3290677581418388</v>
      </c>
      <c r="CL18" s="15">
        <f t="shared" si="82"/>
        <v>0.4783765627650659</v>
      </c>
      <c r="CM18" s="15">
        <f t="shared" si="83"/>
        <v>0.39961484086181787</v>
      </c>
      <c r="CN18" s="15">
        <f t="shared" si="84"/>
        <v>0.2748888010786324</v>
      </c>
      <c r="CO18" s="15">
        <f t="shared" si="85"/>
        <v>0.9981517703201666</v>
      </c>
      <c r="CP18" s="15">
        <f t="shared" si="86"/>
        <v>0.32906775814183886</v>
      </c>
      <c r="CQ18" s="15"/>
      <c r="CR18" s="1">
        <f t="shared" si="87"/>
        <v>0.8396265536866677</v>
      </c>
      <c r="CS18" s="15">
        <f t="shared" si="88"/>
        <v>0.20598144668945625</v>
      </c>
      <c r="CT18" s="59">
        <f t="shared" si="89"/>
        <v>0.29934830179517635</v>
      </c>
      <c r="CU18" s="22">
        <f t="shared" si="90"/>
        <v>0.412204801793254</v>
      </c>
      <c r="CV18" s="22">
        <f t="shared" si="91"/>
        <v>0.3917873184967704</v>
      </c>
      <c r="CW18" s="22">
        <f t="shared" si="11"/>
        <v>0.6789012300507905</v>
      </c>
      <c r="CX18" s="22">
        <f t="shared" si="12"/>
        <v>0.12967399552996597</v>
      </c>
      <c r="CY18" s="22">
        <f t="shared" si="13"/>
        <v>0.3989012717971145</v>
      </c>
      <c r="CZ18" s="22">
        <f t="shared" si="14"/>
        <v>0.07619241127615416</v>
      </c>
      <c r="DA18" s="22">
        <f t="shared" si="15"/>
        <v>0.27081456409188576</v>
      </c>
      <c r="DB18" s="22">
        <f t="shared" si="16"/>
        <v>0.38864234713271945</v>
      </c>
      <c r="DC18" s="1">
        <f t="shared" si="17"/>
        <v>0.8854226478464424</v>
      </c>
      <c r="DD18" s="1">
        <f t="shared" si="18"/>
        <v>0.002503793246768855</v>
      </c>
      <c r="DE18" s="1">
        <f t="shared" si="19"/>
        <v>0.07257676954914134</v>
      </c>
      <c r="DF18" s="1">
        <f t="shared" si="20"/>
        <v>0.12248352039907358</v>
      </c>
      <c r="DG18" s="1">
        <f t="shared" si="21"/>
        <v>0.0018325991189427314</v>
      </c>
      <c r="DH18" s="1">
        <f t="shared" si="22"/>
        <v>0.7244866565437024</v>
      </c>
      <c r="DI18" s="1">
        <f t="shared" si="23"/>
        <v>0.04226301504705996</v>
      </c>
      <c r="DJ18" s="1">
        <f t="shared" si="24"/>
        <v>0.002258833248089269</v>
      </c>
      <c r="DK18" s="1">
        <f t="shared" si="25"/>
        <v>0</v>
      </c>
      <c r="DL18" s="1">
        <f t="shared" si="26"/>
        <v>0.00013158050555861847</v>
      </c>
      <c r="DM18" s="1">
        <f t="shared" si="92"/>
        <v>1.8539594155047794</v>
      </c>
      <c r="DO18" s="15">
        <f t="shared" si="93"/>
        <v>1.7708452956928848</v>
      </c>
      <c r="DP18" s="15">
        <f t="shared" si="93"/>
        <v>0.00500758649353771</v>
      </c>
      <c r="DQ18" s="15">
        <f t="shared" si="94"/>
        <v>0.21773030864742404</v>
      </c>
      <c r="DR18" s="15">
        <f t="shared" si="95"/>
        <v>0.12248352039907358</v>
      </c>
      <c r="DS18" s="15">
        <f t="shared" si="95"/>
        <v>0.0018325991189427314</v>
      </c>
      <c r="DT18" s="15">
        <f t="shared" si="95"/>
        <v>0.7244866565437024</v>
      </c>
      <c r="DU18" s="15">
        <f t="shared" si="95"/>
        <v>0.04226301504705996</v>
      </c>
      <c r="DV18" s="15">
        <f t="shared" si="95"/>
        <v>0.002258833248089269</v>
      </c>
      <c r="DW18" s="15">
        <f t="shared" si="95"/>
        <v>0</v>
      </c>
      <c r="DX18" s="15">
        <f t="shared" si="96"/>
        <v>0.0003947415166758554</v>
      </c>
      <c r="DY18" s="15">
        <f t="shared" si="97"/>
        <v>2.88730255670739</v>
      </c>
      <c r="DZ18" s="15">
        <f t="shared" si="98"/>
        <v>2.0780641731021965</v>
      </c>
      <c r="EB18" s="22">
        <f t="shared" si="99"/>
        <v>1.8399650825429748</v>
      </c>
      <c r="EC18" s="22">
        <f t="shared" si="100"/>
        <v>0.005203043042965585</v>
      </c>
      <c r="ED18" s="22">
        <f t="shared" si="101"/>
        <v>0.16003491745702525</v>
      </c>
      <c r="EE18" s="22">
        <f t="shared" si="102"/>
        <v>0.14160345174210492</v>
      </c>
      <c r="EF18" s="22">
        <f t="shared" si="103"/>
        <v>0.3016383691991302</v>
      </c>
      <c r="EG18" s="22">
        <f t="shared" si="104"/>
        <v>0.2545286155367468</v>
      </c>
      <c r="EH18" s="22">
        <f t="shared" si="105"/>
        <v>0.003808258572733541</v>
      </c>
      <c r="EI18" s="22">
        <f t="shared" si="106"/>
        <v>1.505529764854064</v>
      </c>
      <c r="EJ18" s="22">
        <f t="shared" si="107"/>
        <v>0.08782525741657435</v>
      </c>
      <c r="EK18" s="22">
        <f t="shared" si="108"/>
        <v>0.009388000891732752</v>
      </c>
      <c r="EL18" s="22">
        <f t="shared" si="109"/>
        <v>0</v>
      </c>
      <c r="EM18" s="22">
        <f t="shared" si="110"/>
        <v>0.0005468654689600789</v>
      </c>
      <c r="EN18" s="15">
        <f t="shared" si="111"/>
        <v>4.0084332575258825</v>
      </c>
      <c r="EO18" s="15">
        <f t="shared" si="112"/>
        <v>0.016866515051761826</v>
      </c>
      <c r="EP18" s="15">
        <f t="shared" si="113"/>
        <v>0.025246544923902547</v>
      </c>
      <c r="EQ18" s="15">
        <f t="shared" si="114"/>
        <v>0.009388000891732752</v>
      </c>
      <c r="ER18" s="15">
        <f t="shared" si="115"/>
        <v>0.005203043042965585</v>
      </c>
      <c r="ES18" s="15">
        <f t="shared" si="116"/>
        <v>0.0005468654689600789</v>
      </c>
      <c r="ET18" s="15">
        <f t="shared" si="117"/>
        <v>0.1316685853814121</v>
      </c>
      <c r="EU18" s="15">
        <f t="shared" si="118"/>
        <v>0.08782525741657435</v>
      </c>
      <c r="EV18" s="15">
        <f t="shared" si="119"/>
        <v>0.7695848765612961</v>
      </c>
      <c r="EW18" s="15">
        <f t="shared" si="120"/>
        <v>0.6568710539961172</v>
      </c>
      <c r="EX18" s="15">
        <f t="shared" si="121"/>
        <v>0.07496232210861357</v>
      </c>
      <c r="EY18" s="59">
        <f t="shared" si="122"/>
        <v>0.5624631947442575</v>
      </c>
      <c r="EZ18" s="15">
        <f t="shared" si="123"/>
        <v>0.08782525741657435</v>
      </c>
      <c r="FA18" s="15">
        <f t="shared" si="124"/>
        <v>0.13633731616729405</v>
      </c>
      <c r="FB18" s="15">
        <f t="shared" si="125"/>
        <v>0.5944744720981884</v>
      </c>
      <c r="FC18" s="22">
        <f t="shared" si="126"/>
        <v>0.863662683832706</v>
      </c>
      <c r="FD18" s="22">
        <f t="shared" si="127"/>
        <v>0.7218321055874329</v>
      </c>
      <c r="FE18" s="22">
        <f t="shared" si="128"/>
        <v>0.11394801910677463</v>
      </c>
      <c r="FF18" s="22">
        <f t="shared" si="129"/>
        <v>0.7764141694383754</v>
      </c>
      <c r="FG18" s="22">
        <f t="shared" si="130"/>
        <v>0.12256431368058399</v>
      </c>
      <c r="FH18" s="58">
        <f t="shared" si="131"/>
        <v>0.5604406747336205</v>
      </c>
      <c r="FI18" s="15">
        <f t="shared" si="132"/>
        <v>1.004216628762941</v>
      </c>
      <c r="FK18" s="1">
        <f t="shared" si="28"/>
        <v>1340</v>
      </c>
      <c r="FL18" s="1">
        <f t="shared" si="133"/>
        <v>15</v>
      </c>
      <c r="FN18" s="1">
        <f t="shared" si="29"/>
        <v>0.5559653464142352</v>
      </c>
      <c r="FO18" s="1">
        <f t="shared" si="134"/>
        <v>1491.6329559844548</v>
      </c>
      <c r="FQ18" s="1">
        <f t="shared" si="30"/>
        <v>1337.1868939196631</v>
      </c>
      <c r="FR18" s="1">
        <f t="shared" si="31"/>
        <v>1201.5930434763573</v>
      </c>
      <c r="FS18" s="1">
        <f t="shared" si="32"/>
        <v>1495.9651994709575</v>
      </c>
      <c r="FT18" s="1">
        <f t="shared" si="33"/>
        <v>1332.065082337607</v>
      </c>
      <c r="FU18" s="1">
        <f t="shared" si="135"/>
        <v>0.4832171830151424</v>
      </c>
      <c r="FV18" s="1">
        <f t="shared" si="136"/>
        <v>1660.3310909730599</v>
      </c>
      <c r="FW18" s="1">
        <f t="shared" si="34"/>
        <v>1481.0082939333229</v>
      </c>
      <c r="FY18" s="1">
        <f t="shared" si="137"/>
        <v>1346.6910994122554</v>
      </c>
      <c r="FZ18" s="1">
        <f t="shared" si="138"/>
        <v>1163.6392785870312</v>
      </c>
      <c r="GB18" s="1">
        <f t="shared" si="35"/>
        <v>50.08248001787087</v>
      </c>
      <c r="GC18" s="1">
        <f t="shared" si="36"/>
        <v>37.89865087429564</v>
      </c>
      <c r="GE18" s="1">
        <f t="shared" si="139"/>
        <v>25.89565</v>
      </c>
      <c r="GF18" s="1">
        <f t="shared" si="140"/>
        <v>31.143099999999997</v>
      </c>
      <c r="GG18" s="1">
        <f t="shared" si="141"/>
        <v>2.3649999999999984</v>
      </c>
      <c r="GH18" s="1">
        <f t="shared" si="37"/>
        <v>868.5923054116373</v>
      </c>
      <c r="GI18" s="1">
        <f t="shared" si="38"/>
        <v>1529.967751407567</v>
      </c>
      <c r="GK18" s="1">
        <f t="shared" si="142"/>
        <v>1322.2539829154498</v>
      </c>
      <c r="GL18" s="1">
        <f>-273.15+((35000+61.5*FL18)/((LN(EK18/CA18))^2+19.8))</f>
        <v>1374.2504480741272</v>
      </c>
      <c r="GN18" s="1">
        <f t="shared" si="143"/>
        <v>1389.608687872274</v>
      </c>
      <c r="GP18" s="1">
        <f t="shared" si="39"/>
        <v>14.45033912450603</v>
      </c>
      <c r="GQ18" s="1">
        <f t="shared" si="144"/>
        <v>-0.54966087549397</v>
      </c>
      <c r="GR18" s="2">
        <f t="shared" si="40"/>
        <v>15</v>
      </c>
    </row>
    <row r="19" spans="1:200" ht="14.25">
      <c r="A19" s="1" t="s">
        <v>43</v>
      </c>
      <c r="B19" s="1" t="s">
        <v>44</v>
      </c>
      <c r="C19" s="23">
        <v>0.1938</v>
      </c>
      <c r="D19" s="2">
        <v>950</v>
      </c>
      <c r="F19" s="1">
        <v>87</v>
      </c>
      <c r="G19" s="23">
        <v>51.06</v>
      </c>
      <c r="H19" s="23">
        <v>0.62</v>
      </c>
      <c r="I19" s="23">
        <v>3.16</v>
      </c>
      <c r="J19" s="23">
        <v>6.18</v>
      </c>
      <c r="K19" s="23">
        <v>0.12</v>
      </c>
      <c r="L19" s="23">
        <v>15.78</v>
      </c>
      <c r="M19" s="23">
        <v>20.82</v>
      </c>
      <c r="N19" s="23">
        <v>0.27</v>
      </c>
      <c r="O19" s="23">
        <v>0</v>
      </c>
      <c r="P19" s="23">
        <v>0.01</v>
      </c>
      <c r="R19" s="23">
        <v>55.15</v>
      </c>
      <c r="S19" s="23">
        <v>0.17</v>
      </c>
      <c r="T19" s="23">
        <v>1.19</v>
      </c>
      <c r="U19" s="23">
        <v>10.21</v>
      </c>
      <c r="V19" s="23">
        <v>0.22</v>
      </c>
      <c r="W19" s="23">
        <v>29.99</v>
      </c>
      <c r="X19" s="23">
        <v>1.66</v>
      </c>
      <c r="Y19" s="23">
        <v>0.03</v>
      </c>
      <c r="Z19" s="23">
        <v>0</v>
      </c>
      <c r="AA19" s="23">
        <v>0.15</v>
      </c>
      <c r="AC19" s="50">
        <f t="shared" si="41"/>
        <v>1005.5625254907447</v>
      </c>
      <c r="AD19" s="50">
        <f t="shared" si="0"/>
        <v>3.489870998035558</v>
      </c>
      <c r="AE19" s="69">
        <f t="shared" si="42"/>
        <v>0.8198741244635669</v>
      </c>
      <c r="AF19" s="27">
        <f t="shared" si="1"/>
        <v>1003.0961582627316</v>
      </c>
      <c r="AG19" s="27"/>
      <c r="AH19" s="27">
        <f t="shared" si="2"/>
        <v>1005.5625254907447</v>
      </c>
      <c r="AI19" s="27">
        <f t="shared" si="3"/>
        <v>979.6664027696897</v>
      </c>
      <c r="AJ19" s="27">
        <f t="shared" si="4"/>
        <v>2.3800047017117683</v>
      </c>
      <c r="AK19" s="27">
        <f t="shared" si="5"/>
        <v>3.489870998035558</v>
      </c>
      <c r="AL19" s="27">
        <f t="shared" si="43"/>
        <v>1052.4306539367208</v>
      </c>
      <c r="AM19" s="27">
        <f t="shared" si="44"/>
        <v>1010.771404825298</v>
      </c>
      <c r="AN19" s="29">
        <f t="shared" si="6"/>
        <v>985.5891874154302</v>
      </c>
      <c r="AO19" s="42">
        <f t="shared" si="7"/>
        <v>1.1503558354405394</v>
      </c>
      <c r="AP19" s="44"/>
      <c r="AQ19" s="1">
        <f t="shared" si="8"/>
        <v>0.3882398589631559</v>
      </c>
      <c r="AS19" s="1">
        <f t="shared" si="45"/>
        <v>0.8498060225383337</v>
      </c>
      <c r="AT19" s="1">
        <f t="shared" si="46"/>
        <v>0.00776175906498345</v>
      </c>
      <c r="AU19" s="1">
        <f t="shared" si="47"/>
        <v>0.03099224213179549</v>
      </c>
      <c r="AV19" s="1">
        <f t="shared" si="48"/>
        <v>0.08601683591662213</v>
      </c>
      <c r="AW19" s="1">
        <f t="shared" si="49"/>
        <v>0.0016916299559471366</v>
      </c>
      <c r="AX19" s="1">
        <f t="shared" si="50"/>
        <v>0.3915205287760145</v>
      </c>
      <c r="AY19" s="1">
        <f t="shared" si="51"/>
        <v>0.37127256256531155</v>
      </c>
      <c r="AZ19" s="1">
        <f t="shared" si="52"/>
        <v>0.004356321264172162</v>
      </c>
      <c r="BA19" s="1">
        <f t="shared" si="53"/>
        <v>0</v>
      </c>
      <c r="BB19" s="1">
        <f t="shared" si="54"/>
        <v>6.579025277930924E-05</v>
      </c>
      <c r="BC19" s="1">
        <f t="shared" si="55"/>
        <v>1.7434836924659596</v>
      </c>
      <c r="BE19" s="15">
        <f t="shared" si="56"/>
        <v>1.6996120450766674</v>
      </c>
      <c r="BF19" s="15">
        <f t="shared" si="56"/>
        <v>0.0155235181299669</v>
      </c>
      <c r="BG19" s="15">
        <f t="shared" si="57"/>
        <v>0.09297672639538647</v>
      </c>
      <c r="BH19" s="15">
        <f t="shared" si="58"/>
        <v>0.08601683591662213</v>
      </c>
      <c r="BI19" s="15">
        <f t="shared" si="58"/>
        <v>0.0016916299559471366</v>
      </c>
      <c r="BJ19" s="15">
        <f t="shared" si="58"/>
        <v>0.3915205287760145</v>
      </c>
      <c r="BK19" s="15">
        <f t="shared" si="58"/>
        <v>0.37127256256531155</v>
      </c>
      <c r="BL19" s="15">
        <f t="shared" si="58"/>
        <v>0.004356321264172162</v>
      </c>
      <c r="BM19" s="15">
        <f t="shared" si="58"/>
        <v>0</v>
      </c>
      <c r="BN19" s="15">
        <f t="shared" si="59"/>
        <v>0.0001973707583379277</v>
      </c>
      <c r="BO19" s="15">
        <f t="shared" si="60"/>
        <v>2.663167538838426</v>
      </c>
      <c r="BP19" s="15">
        <f t="shared" si="61"/>
        <v>2.2529562682402533</v>
      </c>
      <c r="BR19" s="22">
        <f t="shared" si="62"/>
        <v>1.9145758052660569</v>
      </c>
      <c r="BS19" s="22">
        <f t="shared" si="63"/>
        <v>0.01748690373802507</v>
      </c>
      <c r="BT19" s="22">
        <f t="shared" si="64"/>
        <v>0.08542419473394314</v>
      </c>
      <c r="BU19" s="22">
        <f t="shared" si="65"/>
        <v>0.0542241376213535</v>
      </c>
      <c r="BV19" s="22">
        <f t="shared" si="66"/>
        <v>0.13964833235529664</v>
      </c>
      <c r="BW19" s="22">
        <f t="shared" si="67"/>
        <v>0.19379216965254717</v>
      </c>
      <c r="BX19" s="22">
        <f t="shared" si="68"/>
        <v>0.003811168312794085</v>
      </c>
      <c r="BY19" s="22">
        <f t="shared" si="69"/>
        <v>0.8820786294506604</v>
      </c>
      <c r="BZ19" s="22">
        <f t="shared" si="70"/>
        <v>0.8364608470571403</v>
      </c>
      <c r="CA19" s="22">
        <f t="shared" si="71"/>
        <v>0.019629202597169954</v>
      </c>
      <c r="CB19" s="22">
        <f t="shared" si="72"/>
        <v>0</v>
      </c>
      <c r="CC19" s="22">
        <f t="shared" si="73"/>
        <v>0.00029644512477651095</v>
      </c>
      <c r="CD19" s="15">
        <f t="shared" si="74"/>
        <v>4.007779503554468</v>
      </c>
      <c r="CE19" s="15">
        <f t="shared" si="75"/>
        <v>0.015559007108932935</v>
      </c>
      <c r="CF19" s="15">
        <f t="shared" si="76"/>
        <v>0.023293208264281162</v>
      </c>
      <c r="CG19" s="15">
        <f t="shared" si="77"/>
        <v>0.019629202597169954</v>
      </c>
      <c r="CH19" s="15">
        <f t="shared" si="78"/>
        <v>0.03459493502418355</v>
      </c>
      <c r="CI19" s="15">
        <f t="shared" si="79"/>
        <v>0.025414629854879793</v>
      </c>
      <c r="CJ19" s="15">
        <f t="shared" si="80"/>
        <v>0.00014822256238825548</v>
      </c>
      <c r="CK19" s="15">
        <f t="shared" si="81"/>
        <v>0.7763030596156888</v>
      </c>
      <c r="CL19" s="15">
        <f t="shared" si="82"/>
        <v>0.14978386974375935</v>
      </c>
      <c r="CM19" s="15">
        <f t="shared" si="83"/>
        <v>0.1223704336320412</v>
      </c>
      <c r="CN19" s="15">
        <f t="shared" si="84"/>
        <v>0.6342241137017368</v>
      </c>
      <c r="CO19" s="15">
        <f t="shared" si="85"/>
        <v>1.0058739193980697</v>
      </c>
      <c r="CP19" s="15">
        <f t="shared" si="86"/>
        <v>0.7763030596156888</v>
      </c>
      <c r="CQ19" s="15"/>
      <c r="CR19" s="1">
        <f t="shared" si="87"/>
        <v>0.8319049510819959</v>
      </c>
      <c r="CS19" s="15">
        <f t="shared" si="88"/>
        <v>0.17823316254361424</v>
      </c>
      <c r="CT19" s="59">
        <f t="shared" si="89"/>
        <v>0.23238474869369982</v>
      </c>
      <c r="CU19" s="22">
        <f t="shared" si="90"/>
        <v>0.6017456683284581</v>
      </c>
      <c r="CV19" s="22">
        <f t="shared" si="91"/>
        <v>0.3285455490078497</v>
      </c>
      <c r="CW19" s="22">
        <f t="shared" si="11"/>
        <v>0.759057951513016</v>
      </c>
      <c r="CX19" s="22">
        <f t="shared" si="12"/>
        <v>0.15337555489389584</v>
      </c>
      <c r="CY19" s="22">
        <f t="shared" si="13"/>
        <v>0.11654887041372328</v>
      </c>
      <c r="CZ19" s="22">
        <f t="shared" si="14"/>
        <v>0.02354991161917239</v>
      </c>
      <c r="DA19" s="22">
        <f t="shared" si="15"/>
        <v>0.08846734682739675</v>
      </c>
      <c r="DB19" s="22">
        <f t="shared" si="16"/>
        <v>0.13242780857099967</v>
      </c>
      <c r="DC19" s="1">
        <f t="shared" si="17"/>
        <v>0.9178770494122425</v>
      </c>
      <c r="DD19" s="1">
        <f t="shared" si="18"/>
        <v>0.0021282242597535266</v>
      </c>
      <c r="DE19" s="1">
        <f t="shared" si="19"/>
        <v>0.011671129157226783</v>
      </c>
      <c r="DF19" s="1">
        <f t="shared" si="20"/>
        <v>0.1421087208266524</v>
      </c>
      <c r="DG19" s="1">
        <f t="shared" si="21"/>
        <v>0.0031013215859030836</v>
      </c>
      <c r="DH19" s="1">
        <f t="shared" si="22"/>
        <v>0.744087494169371</v>
      </c>
      <c r="DI19" s="1">
        <f t="shared" si="23"/>
        <v>0.029601943028742417</v>
      </c>
      <c r="DJ19" s="1">
        <f t="shared" si="24"/>
        <v>0.00048403569601912906</v>
      </c>
      <c r="DK19" s="1">
        <f t="shared" si="25"/>
        <v>0</v>
      </c>
      <c r="DL19" s="1">
        <f t="shared" si="26"/>
        <v>0.0009868537916896383</v>
      </c>
      <c r="DM19" s="1">
        <f t="shared" si="92"/>
        <v>1.8520467719276006</v>
      </c>
      <c r="DO19" s="15">
        <f t="shared" si="93"/>
        <v>1.835754098824485</v>
      </c>
      <c r="DP19" s="15">
        <f t="shared" si="93"/>
        <v>0.004256448519507053</v>
      </c>
      <c r="DQ19" s="15">
        <f t="shared" si="94"/>
        <v>0.03501338747168035</v>
      </c>
      <c r="DR19" s="15">
        <f t="shared" si="95"/>
        <v>0.1421087208266524</v>
      </c>
      <c r="DS19" s="15">
        <f t="shared" si="95"/>
        <v>0.0031013215859030836</v>
      </c>
      <c r="DT19" s="15">
        <f t="shared" si="95"/>
        <v>0.744087494169371</v>
      </c>
      <c r="DU19" s="15">
        <f t="shared" si="95"/>
        <v>0.029601943028742417</v>
      </c>
      <c r="DV19" s="15">
        <f t="shared" si="95"/>
        <v>0.00048403569601912906</v>
      </c>
      <c r="DW19" s="15">
        <f t="shared" si="95"/>
        <v>0</v>
      </c>
      <c r="DX19" s="15">
        <f t="shared" si="96"/>
        <v>0.0029605613750689147</v>
      </c>
      <c r="DY19" s="15">
        <f t="shared" si="97"/>
        <v>2.7973680114974298</v>
      </c>
      <c r="DZ19" s="15">
        <f t="shared" si="98"/>
        <v>2.1448733149658787</v>
      </c>
      <c r="EB19" s="22">
        <f t="shared" si="99"/>
        <v>1.968729989703936</v>
      </c>
      <c r="EC19" s="22">
        <f t="shared" si="100"/>
        <v>0.00456477142300835</v>
      </c>
      <c r="ED19" s="22">
        <f t="shared" si="101"/>
        <v>0.03127001029606391</v>
      </c>
      <c r="EE19" s="22">
        <f t="shared" si="102"/>
        <v>0.018796176673647955</v>
      </c>
      <c r="EF19" s="22">
        <f t="shared" si="103"/>
        <v>0.050066186969711865</v>
      </c>
      <c r="EG19" s="22">
        <f t="shared" si="104"/>
        <v>0.3048052031250226</v>
      </c>
      <c r="EH19" s="22">
        <f t="shared" si="105"/>
        <v>0.006651941910731183</v>
      </c>
      <c r="EI19" s="22">
        <f t="shared" si="106"/>
        <v>1.5959734102437129</v>
      </c>
      <c r="EJ19" s="22">
        <f t="shared" si="107"/>
        <v>0.06349241767348983</v>
      </c>
      <c r="EK19" s="22">
        <f t="shared" si="108"/>
        <v>0.0020763904957647314</v>
      </c>
      <c r="EL19" s="22">
        <f t="shared" si="109"/>
        <v>0</v>
      </c>
      <c r="EM19" s="22">
        <f t="shared" si="110"/>
        <v>0.004233352727136003</v>
      </c>
      <c r="EN19" s="15">
        <f t="shared" si="111"/>
        <v>4.000593664272514</v>
      </c>
      <c r="EO19" s="15">
        <f t="shared" si="112"/>
        <v>0.001187328545027985</v>
      </c>
      <c r="EP19" s="15">
        <f t="shared" si="113"/>
        <v>0.0017807285288142793</v>
      </c>
      <c r="EQ19" s="15">
        <f t="shared" si="114"/>
        <v>0.0020763904957647314</v>
      </c>
      <c r="ER19" s="15">
        <f t="shared" si="115"/>
        <v>0.00456477142300835</v>
      </c>
      <c r="ES19" s="15">
        <f t="shared" si="116"/>
        <v>0.004233352727136003</v>
      </c>
      <c r="ET19" s="15">
        <f t="shared" si="117"/>
        <v>0.012486433450747219</v>
      </c>
      <c r="EU19" s="15">
        <f t="shared" si="118"/>
        <v>0.06349241767348983</v>
      </c>
      <c r="EV19" s="15">
        <f t="shared" si="119"/>
        <v>0.9134434663661105</v>
      </c>
      <c r="EW19" s="15">
        <f t="shared" si="120"/>
        <v>0.7642907261006763</v>
      </c>
      <c r="EX19" s="15">
        <f t="shared" si="121"/>
        <v>0.053124980135453005</v>
      </c>
      <c r="EY19" s="59">
        <f t="shared" si="122"/>
        <v>0.6367050952016527</v>
      </c>
      <c r="EZ19" s="15">
        <f t="shared" si="123"/>
        <v>0.06349241767348981</v>
      </c>
      <c r="FA19" s="15">
        <f t="shared" si="124"/>
        <v>0.15983326361079406</v>
      </c>
      <c r="FB19" s="15">
        <f t="shared" si="125"/>
        <v>0.65918732222561</v>
      </c>
      <c r="FC19" s="22">
        <f t="shared" si="126"/>
        <v>0.840166736389206</v>
      </c>
      <c r="FD19" s="22">
        <f t="shared" si="127"/>
        <v>0.8159853687744405</v>
      </c>
      <c r="FE19" s="22">
        <f t="shared" si="128"/>
        <v>0.15523300185673913</v>
      </c>
      <c r="FF19" s="22">
        <f t="shared" si="129"/>
        <v>0.7794892644949241</v>
      </c>
      <c r="FG19" s="22">
        <f t="shared" si="130"/>
        <v>0.14828998542509036</v>
      </c>
      <c r="FH19" s="58">
        <f t="shared" si="131"/>
        <v>0.636051834944608</v>
      </c>
      <c r="FI19" s="15">
        <f t="shared" si="132"/>
        <v>1.0002968321362566</v>
      </c>
      <c r="FK19" s="1">
        <f t="shared" si="28"/>
        <v>950</v>
      </c>
      <c r="FL19" s="1">
        <f t="shared" si="133"/>
        <v>1.938</v>
      </c>
      <c r="FN19" s="1">
        <f t="shared" si="29"/>
        <v>0.16660407653080206</v>
      </c>
      <c r="FO19" s="1">
        <f t="shared" si="134"/>
        <v>1106.3357395742478</v>
      </c>
      <c r="FQ19" s="1">
        <f t="shared" si="30"/>
        <v>1232.0940350370515</v>
      </c>
      <c r="FR19" s="1">
        <f t="shared" si="31"/>
        <v>906.7476488304111</v>
      </c>
      <c r="FS19" s="1">
        <f t="shared" si="32"/>
        <v>1397.4095134255026</v>
      </c>
      <c r="FT19" s="1">
        <f t="shared" si="33"/>
        <v>1122.532667904725</v>
      </c>
      <c r="FU19" s="1">
        <f t="shared" si="135"/>
        <v>0.13908826602960925</v>
      </c>
      <c r="FV19" s="1">
        <f t="shared" si="136"/>
        <v>1023.267521631802</v>
      </c>
      <c r="FW19" s="1">
        <f t="shared" si="34"/>
        <v>1219.7781236188976</v>
      </c>
      <c r="FY19" s="1">
        <f t="shared" si="137"/>
        <v>1052.4306539367208</v>
      </c>
      <c r="FZ19" s="1">
        <f t="shared" si="138"/>
        <v>518.7729122849726</v>
      </c>
      <c r="GB19" s="1">
        <f t="shared" si="35"/>
        <v>9.542178813774642</v>
      </c>
      <c r="GC19" s="1">
        <f t="shared" si="36"/>
        <v>9.278405813244767</v>
      </c>
      <c r="GE19" s="1">
        <f t="shared" si="139"/>
        <v>26.186801980000002</v>
      </c>
      <c r="GF19" s="1">
        <f t="shared" si="140"/>
        <v>32.272440519999996</v>
      </c>
      <c r="GG19" s="1">
        <f t="shared" si="141"/>
        <v>25.210438</v>
      </c>
      <c r="GH19" s="1">
        <f t="shared" si="37"/>
        <v>466.6083572379513</v>
      </c>
      <c r="GI19" s="1">
        <f t="shared" si="38"/>
        <v>970.1961318789562</v>
      </c>
      <c r="GK19" s="1">
        <f t="shared" si="142"/>
        <v>1134.7621316273758</v>
      </c>
      <c r="GL19" s="1">
        <f>-273.15+((35000+61.5*FL19)/((LN(EK19/CA19))^2+19.8))</f>
        <v>1140.309915126144</v>
      </c>
      <c r="GN19" s="1">
        <f t="shared" si="143"/>
        <v>1010.771404825298</v>
      </c>
      <c r="GP19" s="1">
        <f t="shared" si="39"/>
        <v>2.3800047017117683</v>
      </c>
      <c r="GQ19" s="1">
        <f t="shared" si="144"/>
        <v>0.4420047017117683</v>
      </c>
      <c r="GR19" s="2">
        <f t="shared" si="40"/>
        <v>1.938</v>
      </c>
    </row>
    <row r="20" spans="1:200" ht="14.25">
      <c r="A20" s="1" t="s">
        <v>43</v>
      </c>
      <c r="B20" s="1" t="s">
        <v>45</v>
      </c>
      <c r="C20" s="23">
        <v>0.2</v>
      </c>
      <c r="D20" s="2">
        <v>980</v>
      </c>
      <c r="F20" s="1">
        <v>86</v>
      </c>
      <c r="G20" s="23">
        <v>53.32</v>
      </c>
      <c r="H20" s="23">
        <v>0.48</v>
      </c>
      <c r="I20" s="23">
        <v>2.25</v>
      </c>
      <c r="J20" s="23">
        <v>5.92</v>
      </c>
      <c r="K20" s="23">
        <v>0.15</v>
      </c>
      <c r="L20" s="23">
        <v>16.91</v>
      </c>
      <c r="M20" s="23">
        <v>20.73</v>
      </c>
      <c r="N20" s="23">
        <v>0.28</v>
      </c>
      <c r="O20" s="23">
        <v>0</v>
      </c>
      <c r="P20" s="23">
        <v>0.12</v>
      </c>
      <c r="R20" s="23">
        <v>56.32</v>
      </c>
      <c r="S20" s="23">
        <v>0.13</v>
      </c>
      <c r="T20" s="23">
        <v>1.41</v>
      </c>
      <c r="U20" s="23">
        <v>10.17</v>
      </c>
      <c r="V20" s="23">
        <v>0.26</v>
      </c>
      <c r="W20" s="23">
        <v>30.88</v>
      </c>
      <c r="X20" s="23">
        <v>1.05</v>
      </c>
      <c r="Y20" s="23">
        <v>0.02</v>
      </c>
      <c r="Z20" s="23">
        <v>0</v>
      </c>
      <c r="AA20" s="23">
        <v>0.16</v>
      </c>
      <c r="AC20" s="50">
        <f t="shared" si="41"/>
        <v>1007.0530521710999</v>
      </c>
      <c r="AD20" s="50">
        <f t="shared" si="0"/>
        <v>5.074810251425615</v>
      </c>
      <c r="AE20" s="69">
        <f t="shared" si="42"/>
        <v>0.8358458906158835</v>
      </c>
      <c r="AF20" s="27">
        <f t="shared" si="1"/>
        <v>1044.0325901807464</v>
      </c>
      <c r="AG20" s="27"/>
      <c r="AH20" s="27">
        <f t="shared" si="2"/>
        <v>1007.0530521710999</v>
      </c>
      <c r="AI20" s="27">
        <f t="shared" si="3"/>
        <v>997.4829743730817</v>
      </c>
      <c r="AJ20" s="27">
        <f t="shared" si="4"/>
        <v>4.099410731287854</v>
      </c>
      <c r="AK20" s="27">
        <f t="shared" si="5"/>
        <v>5.074810251425615</v>
      </c>
      <c r="AL20" s="27">
        <f t="shared" si="43"/>
        <v>1087.0067813997034</v>
      </c>
      <c r="AM20" s="27">
        <f t="shared" si="44"/>
        <v>1052.5381975308674</v>
      </c>
      <c r="AN20" s="29">
        <f t="shared" si="6"/>
        <v>1044.7851236970066</v>
      </c>
      <c r="AO20" s="42">
        <f t="shared" si="7"/>
        <v>1.063002871934069</v>
      </c>
      <c r="AP20" s="44"/>
      <c r="AQ20" s="1">
        <f t="shared" si="8"/>
        <v>0.20874504084078782</v>
      </c>
      <c r="AS20" s="1">
        <f t="shared" si="45"/>
        <v>0.8874198417889532</v>
      </c>
      <c r="AT20" s="1">
        <f t="shared" si="46"/>
        <v>0.006009103792245251</v>
      </c>
      <c r="AU20" s="1">
        <f t="shared" si="47"/>
        <v>0.022067261011563245</v>
      </c>
      <c r="AV20" s="1">
        <f t="shared" si="48"/>
        <v>0.08239800463210405</v>
      </c>
      <c r="AW20" s="1">
        <f t="shared" si="49"/>
        <v>0.0021145374449339205</v>
      </c>
      <c r="AX20" s="1">
        <f t="shared" si="50"/>
        <v>0.4195571699367811</v>
      </c>
      <c r="AY20" s="1">
        <f t="shared" si="51"/>
        <v>0.3696676379432713</v>
      </c>
      <c r="AZ20" s="1">
        <f t="shared" si="52"/>
        <v>0.004517666496178538</v>
      </c>
      <c r="BA20" s="1">
        <f t="shared" si="53"/>
        <v>0</v>
      </c>
      <c r="BB20" s="1">
        <f t="shared" si="54"/>
        <v>0.0007894830333517107</v>
      </c>
      <c r="BC20" s="1">
        <f t="shared" si="55"/>
        <v>1.794540706079382</v>
      </c>
      <c r="BE20" s="15">
        <f t="shared" si="56"/>
        <v>1.7748396835779063</v>
      </c>
      <c r="BF20" s="15">
        <f t="shared" si="56"/>
        <v>0.012018207584490502</v>
      </c>
      <c r="BG20" s="15">
        <f t="shared" si="57"/>
        <v>0.06620178303468974</v>
      </c>
      <c r="BH20" s="15">
        <f t="shared" si="58"/>
        <v>0.08239800463210405</v>
      </c>
      <c r="BI20" s="15">
        <f t="shared" si="58"/>
        <v>0.0021145374449339205</v>
      </c>
      <c r="BJ20" s="15">
        <f t="shared" si="58"/>
        <v>0.4195571699367811</v>
      </c>
      <c r="BK20" s="15">
        <f t="shared" si="58"/>
        <v>0.3696676379432713</v>
      </c>
      <c r="BL20" s="15">
        <f t="shared" si="58"/>
        <v>0.004517666496178538</v>
      </c>
      <c r="BM20" s="15">
        <f t="shared" si="58"/>
        <v>0</v>
      </c>
      <c r="BN20" s="15">
        <f t="shared" si="59"/>
        <v>0.002368449100055132</v>
      </c>
      <c r="BO20" s="15">
        <f t="shared" si="60"/>
        <v>2.7336831397504104</v>
      </c>
      <c r="BP20" s="15">
        <f t="shared" si="61"/>
        <v>2.194841059943695</v>
      </c>
      <c r="BR20" s="22">
        <f t="shared" si="62"/>
        <v>1.9477455061671323</v>
      </c>
      <c r="BS20" s="22">
        <f t="shared" si="63"/>
        <v>0.013189027736683245</v>
      </c>
      <c r="BT20" s="22">
        <f t="shared" si="64"/>
        <v>0.05225449383286773</v>
      </c>
      <c r="BU20" s="22">
        <f t="shared" si="65"/>
        <v>0.044613767264479576</v>
      </c>
      <c r="BV20" s="22">
        <f t="shared" si="66"/>
        <v>0.09686826109734731</v>
      </c>
      <c r="BW20" s="22">
        <f t="shared" si="67"/>
        <v>0.18085052382397274</v>
      </c>
      <c r="BX20" s="22">
        <f t="shared" si="68"/>
        <v>0.004641073606929399</v>
      </c>
      <c r="BY20" s="22">
        <f t="shared" si="69"/>
        <v>0.9208613035710217</v>
      </c>
      <c r="BZ20" s="22">
        <f t="shared" si="70"/>
        <v>0.8113617102902917</v>
      </c>
      <c r="CA20" s="22">
        <f t="shared" si="71"/>
        <v>0.019831119841889247</v>
      </c>
      <c r="CB20" s="22">
        <f t="shared" si="72"/>
        <v>0</v>
      </c>
      <c r="CC20" s="22">
        <f t="shared" si="73"/>
        <v>0.0034655795554584647</v>
      </c>
      <c r="CD20" s="15">
        <f t="shared" si="74"/>
        <v>3.998814105690726</v>
      </c>
      <c r="CE20" s="15">
        <f t="shared" si="75"/>
        <v>0</v>
      </c>
      <c r="CF20" s="15">
        <f t="shared" si="76"/>
        <v>-0.0035587379996080415</v>
      </c>
      <c r="CG20" s="15">
        <f t="shared" si="77"/>
        <v>0.019831119841889247</v>
      </c>
      <c r="CH20" s="15">
        <f t="shared" si="78"/>
        <v>0.02478264742259033</v>
      </c>
      <c r="CI20" s="15">
        <f t="shared" si="79"/>
        <v>0.013735923205138702</v>
      </c>
      <c r="CJ20" s="15">
        <f t="shared" si="80"/>
        <v>0.0017327897777292323</v>
      </c>
      <c r="CK20" s="15">
        <f t="shared" si="81"/>
        <v>0.7711103498848334</v>
      </c>
      <c r="CL20" s="15">
        <f t="shared" si="82"/>
        <v>0.1653007387550805</v>
      </c>
      <c r="CM20" s="15">
        <f t="shared" si="83"/>
        <v>0.13758634666516018</v>
      </c>
      <c r="CN20" s="15">
        <f t="shared" si="84"/>
        <v>0.6418256610065323</v>
      </c>
      <c r="CO20" s="15">
        <f t="shared" si="85"/>
        <v>0.9964935688872614</v>
      </c>
      <c r="CP20" s="15">
        <f t="shared" si="86"/>
        <v>0.7711103498848334</v>
      </c>
      <c r="CQ20" s="15"/>
      <c r="CR20" s="1">
        <f t="shared" si="87"/>
        <v>0.8358458906158835</v>
      </c>
      <c r="CS20" s="15">
        <f t="shared" si="88"/>
        <v>0.18085052382397274</v>
      </c>
      <c r="CT20" s="59">
        <f t="shared" si="89"/>
        <v>0.24975231184001387</v>
      </c>
      <c r="CU20" s="22">
        <f t="shared" si="90"/>
        <v>0.5851068494828572</v>
      </c>
      <c r="CV20" s="22">
        <f t="shared" si="91"/>
        <v>0.3601441167770871</v>
      </c>
      <c r="CW20" s="22">
        <f t="shared" si="11"/>
        <v>0.7846349715180169</v>
      </c>
      <c r="CX20" s="22">
        <f t="shared" si="12"/>
        <v>0.15409665392536184</v>
      </c>
      <c r="CY20" s="22">
        <f t="shared" si="13"/>
        <v>0.13721755693811621</v>
      </c>
      <c r="CZ20" s="22">
        <f t="shared" si="14"/>
        <v>0.026948539322773475</v>
      </c>
      <c r="DA20" s="22">
        <f t="shared" si="15"/>
        <v>0.10766569387991064</v>
      </c>
      <c r="DB20" s="22">
        <f t="shared" si="16"/>
        <v>0.1586648164186252</v>
      </c>
      <c r="DC20" s="1">
        <f t="shared" si="17"/>
        <v>0.9373496903517226</v>
      </c>
      <c r="DD20" s="1">
        <f t="shared" si="18"/>
        <v>0.0016274656103997557</v>
      </c>
      <c r="DE20" s="1">
        <f t="shared" si="19"/>
        <v>0.013828816900579632</v>
      </c>
      <c r="DF20" s="1">
        <f t="shared" si="20"/>
        <v>0.14155197755211116</v>
      </c>
      <c r="DG20" s="1">
        <f t="shared" si="21"/>
        <v>0.003665198237885463</v>
      </c>
      <c r="DH20" s="1">
        <f t="shared" si="22"/>
        <v>0.7661694504818332</v>
      </c>
      <c r="DI20" s="1">
        <f t="shared" si="23"/>
        <v>0.018724120590469604</v>
      </c>
      <c r="DJ20" s="1">
        <f t="shared" si="24"/>
        <v>0.00032269046401275274</v>
      </c>
      <c r="DK20" s="1">
        <f t="shared" si="25"/>
        <v>0</v>
      </c>
      <c r="DL20" s="1">
        <f t="shared" si="26"/>
        <v>0.0010526440444689478</v>
      </c>
      <c r="DM20" s="1">
        <f t="shared" si="92"/>
        <v>1.8842920542334831</v>
      </c>
      <c r="DO20" s="15">
        <f t="shared" si="93"/>
        <v>1.874699380703445</v>
      </c>
      <c r="DP20" s="15">
        <f t="shared" si="93"/>
        <v>0.0032549312207995115</v>
      </c>
      <c r="DQ20" s="15">
        <f t="shared" si="94"/>
        <v>0.0414864507017389</v>
      </c>
      <c r="DR20" s="15">
        <f t="shared" si="95"/>
        <v>0.14155197755211116</v>
      </c>
      <c r="DS20" s="15">
        <f t="shared" si="95"/>
        <v>0.003665198237885463</v>
      </c>
      <c r="DT20" s="15">
        <f t="shared" si="95"/>
        <v>0.7661694504818332</v>
      </c>
      <c r="DU20" s="15">
        <f t="shared" si="95"/>
        <v>0.018724120590469604</v>
      </c>
      <c r="DV20" s="15">
        <f t="shared" si="95"/>
        <v>0.00032269046401275274</v>
      </c>
      <c r="DW20" s="15">
        <f t="shared" si="95"/>
        <v>0</v>
      </c>
      <c r="DX20" s="15">
        <f t="shared" si="96"/>
        <v>0.0031579321334068433</v>
      </c>
      <c r="DY20" s="15">
        <f t="shared" si="97"/>
        <v>2.8530321320857026</v>
      </c>
      <c r="DZ20" s="15">
        <f t="shared" si="98"/>
        <v>2.1030257362063827</v>
      </c>
      <c r="EB20" s="22">
        <f t="shared" si="99"/>
        <v>1.9712705226347562</v>
      </c>
      <c r="EC20" s="22">
        <f t="shared" si="100"/>
        <v>0.0034226020634615163</v>
      </c>
      <c r="ED20" s="22">
        <f t="shared" si="101"/>
        <v>0.028729477365243783</v>
      </c>
      <c r="EE20" s="22">
        <f t="shared" si="102"/>
        <v>0.029435238321165715</v>
      </c>
      <c r="EF20" s="22">
        <f t="shared" si="103"/>
        <v>0.0581647156864095</v>
      </c>
      <c r="EG20" s="22">
        <f t="shared" si="104"/>
        <v>0.29768745180299794</v>
      </c>
      <c r="EH20" s="22">
        <f t="shared" si="105"/>
        <v>0.007708006222571412</v>
      </c>
      <c r="EI20" s="22">
        <f t="shared" si="106"/>
        <v>1.6112740726583967</v>
      </c>
      <c r="EJ20" s="22">
        <f t="shared" si="107"/>
        <v>0.039377307489589425</v>
      </c>
      <c r="EK20" s="22">
        <f t="shared" si="108"/>
        <v>0.001357252701294397</v>
      </c>
      <c r="EL20" s="22">
        <f t="shared" si="109"/>
        <v>0</v>
      </c>
      <c r="EM20" s="22">
        <f t="shared" si="110"/>
        <v>0.004427475033165146</v>
      </c>
      <c r="EN20" s="15">
        <f t="shared" si="111"/>
        <v>3.9946894062926424</v>
      </c>
      <c r="EO20" s="15">
        <f t="shared" si="112"/>
        <v>0</v>
      </c>
      <c r="EP20" s="15">
        <f t="shared" si="113"/>
        <v>-0.015952961045709202</v>
      </c>
      <c r="EQ20" s="15">
        <f t="shared" si="114"/>
        <v>0.001357252701294397</v>
      </c>
      <c r="ER20" s="15">
        <f t="shared" si="115"/>
        <v>0.0034226020634615163</v>
      </c>
      <c r="ES20" s="15">
        <f t="shared" si="116"/>
        <v>0.004427475033165146</v>
      </c>
      <c r="ET20" s="15">
        <f t="shared" si="117"/>
        <v>0.02365051058670617</v>
      </c>
      <c r="EU20" s="15">
        <f t="shared" si="118"/>
        <v>0.039377307489589425</v>
      </c>
      <c r="EV20" s="15">
        <f t="shared" si="119"/>
        <v>0.9251095552721045</v>
      </c>
      <c r="EW20" s="15">
        <f t="shared" si="120"/>
        <v>0.777705815695081</v>
      </c>
      <c r="EX20" s="15">
        <f t="shared" si="121"/>
        <v>0.03310306424416908</v>
      </c>
      <c r="EY20" s="59">
        <f t="shared" si="122"/>
        <v>0.6525320737780236</v>
      </c>
      <c r="EZ20" s="15">
        <f t="shared" si="123"/>
        <v>0.039377307489589425</v>
      </c>
      <c r="FA20" s="15">
        <f t="shared" si="124"/>
        <v>0.15594209102092257</v>
      </c>
      <c r="FB20" s="15">
        <f t="shared" si="125"/>
        <v>0.6715779892407719</v>
      </c>
      <c r="FC20" s="22">
        <f t="shared" si="126"/>
        <v>0.8440579089790774</v>
      </c>
      <c r="FD20" s="22">
        <f t="shared" si="127"/>
        <v>0.8125869436119102</v>
      </c>
      <c r="FE20" s="22">
        <f t="shared" si="128"/>
        <v>0.1501277409702974</v>
      </c>
      <c r="FF20" s="22">
        <f t="shared" si="129"/>
        <v>0.8031695776665563</v>
      </c>
      <c r="FG20" s="22">
        <f t="shared" si="130"/>
        <v>0.1483878559199885</v>
      </c>
      <c r="FH20" s="58">
        <f t="shared" si="131"/>
        <v>0.6526451123181357</v>
      </c>
      <c r="FI20" s="15">
        <f t="shared" si="132"/>
        <v>0.9973447031463212</v>
      </c>
      <c r="FK20" s="1">
        <f t="shared" si="28"/>
        <v>980</v>
      </c>
      <c r="FL20" s="1">
        <f t="shared" si="133"/>
        <v>2</v>
      </c>
      <c r="FN20" s="1">
        <f t="shared" si="29"/>
        <v>0.1924568939738853</v>
      </c>
      <c r="FO20" s="1">
        <f t="shared" si="134"/>
        <v>1148.0527860114596</v>
      </c>
      <c r="FQ20" s="1">
        <f t="shared" si="30"/>
        <v>1279.8121912582953</v>
      </c>
      <c r="FR20" s="1">
        <f t="shared" si="31"/>
        <v>971.0566473845472</v>
      </c>
      <c r="FS20" s="1">
        <f t="shared" si="32"/>
        <v>1251.3982647003731</v>
      </c>
      <c r="FT20" s="1">
        <f t="shared" si="33"/>
        <v>1004.6280626082902</v>
      </c>
      <c r="FU20" s="1">
        <f t="shared" si="135"/>
        <v>0.16496820683677832</v>
      </c>
      <c r="FV20" s="1">
        <f t="shared" si="136"/>
        <v>1084.5658749879776</v>
      </c>
      <c r="FW20" s="1">
        <f t="shared" si="34"/>
        <v>1089.8870861454639</v>
      </c>
      <c r="FY20" s="1">
        <f t="shared" si="137"/>
        <v>1087.0067813997034</v>
      </c>
      <c r="FZ20" s="1">
        <f t="shared" si="138"/>
        <v>601.7400592767345</v>
      </c>
      <c r="GB20" s="1">
        <f t="shared" si="35"/>
        <v>36.65900052417284</v>
      </c>
      <c r="GC20" s="1">
        <f t="shared" si="36"/>
        <v>28.823019066811103</v>
      </c>
      <c r="GE20" s="1">
        <f t="shared" si="139"/>
        <v>26.18542</v>
      </c>
      <c r="GF20" s="1">
        <f t="shared" si="140"/>
        <v>32.26708</v>
      </c>
      <c r="GG20" s="1">
        <f t="shared" si="141"/>
        <v>25.102</v>
      </c>
      <c r="GH20" s="1">
        <f t="shared" si="37"/>
        <v>503.70625490620785</v>
      </c>
      <c r="GI20" s="1">
        <f t="shared" si="38"/>
        <v>874.7417516909355</v>
      </c>
      <c r="GK20" s="1">
        <f t="shared" si="142"/>
        <v>1002.6188496815843</v>
      </c>
      <c r="GL20" s="1">
        <f>-273.15+((35000+61.5*FL20)/((LN(EK20/CA20))^2+19.8))</f>
        <v>1028.0875633996593</v>
      </c>
      <c r="GN20" s="1">
        <f t="shared" si="143"/>
        <v>1052.5381975308674</v>
      </c>
      <c r="GP20" s="1">
        <f t="shared" si="39"/>
        <v>4.099410731287854</v>
      </c>
      <c r="GQ20" s="1">
        <f t="shared" si="144"/>
        <v>2.099410731287854</v>
      </c>
      <c r="GR20" s="2">
        <f t="shared" si="40"/>
        <v>2</v>
      </c>
    </row>
    <row r="21" spans="1:200" ht="14.25">
      <c r="A21" s="1" t="s">
        <v>47</v>
      </c>
      <c r="B21" s="1" t="s">
        <v>46</v>
      </c>
      <c r="C21" s="23">
        <v>1.5</v>
      </c>
      <c r="D21" s="2">
        <v>1350</v>
      </c>
      <c r="F21" s="1">
        <v>3031</v>
      </c>
      <c r="G21" s="23">
        <v>51.58</v>
      </c>
      <c r="H21" s="23">
        <v>0</v>
      </c>
      <c r="I21" s="23">
        <v>7.28</v>
      </c>
      <c r="J21" s="23">
        <v>3.75</v>
      </c>
      <c r="K21" s="23">
        <v>0</v>
      </c>
      <c r="L21" s="23">
        <v>19.55</v>
      </c>
      <c r="M21" s="23">
        <v>15.94</v>
      </c>
      <c r="N21" s="23">
        <v>0.7</v>
      </c>
      <c r="O21" s="23">
        <v>0</v>
      </c>
      <c r="P21" s="23">
        <v>1.2</v>
      </c>
      <c r="R21" s="23">
        <v>54.4</v>
      </c>
      <c r="S21" s="23">
        <v>0</v>
      </c>
      <c r="T21" s="23">
        <v>5.4</v>
      </c>
      <c r="U21" s="23">
        <v>5.9</v>
      </c>
      <c r="V21" s="23">
        <v>0</v>
      </c>
      <c r="W21" s="23">
        <v>31.2</v>
      </c>
      <c r="X21" s="23">
        <v>2.3</v>
      </c>
      <c r="Y21" s="23">
        <v>0.2</v>
      </c>
      <c r="Z21" s="23">
        <v>0</v>
      </c>
      <c r="AA21" s="23">
        <v>0.6</v>
      </c>
      <c r="AC21" s="50">
        <f t="shared" si="41"/>
        <v>1430.940665839148</v>
      </c>
      <c r="AD21" s="50">
        <f t="shared" si="0"/>
        <v>18.82914054494831</v>
      </c>
      <c r="AE21" s="69">
        <f t="shared" si="42"/>
        <v>0.9028490402841578</v>
      </c>
      <c r="AF21" s="27">
        <f t="shared" si="1"/>
        <v>1311.5283155864936</v>
      </c>
      <c r="AG21" s="27"/>
      <c r="AH21" s="27">
        <f t="shared" si="2"/>
        <v>1430.940665839148</v>
      </c>
      <c r="AI21" s="27">
        <f t="shared" si="3"/>
        <v>1377.8548246985742</v>
      </c>
      <c r="AJ21" s="27">
        <f t="shared" si="4"/>
        <v>14.80987666987583</v>
      </c>
      <c r="AK21" s="27">
        <f t="shared" si="5"/>
        <v>18.82914054494831</v>
      </c>
      <c r="AL21" s="27">
        <f t="shared" si="43"/>
        <v>1339.2619762158247</v>
      </c>
      <c r="AM21" s="27">
        <f t="shared" si="44"/>
        <v>1311.2754330091916</v>
      </c>
      <c r="AN21" s="29">
        <f t="shared" si="6"/>
        <v>1323.3902215322391</v>
      </c>
      <c r="AO21" s="42">
        <f t="shared" si="7"/>
        <v>1.014348259569119</v>
      </c>
      <c r="AP21" s="44"/>
      <c r="AQ21" s="1">
        <f t="shared" si="8"/>
        <v>0.21996912167557198</v>
      </c>
      <c r="AS21" s="1">
        <f t="shared" si="45"/>
        <v>0.8584605296225469</v>
      </c>
      <c r="AT21" s="1">
        <f t="shared" si="46"/>
        <v>0</v>
      </c>
      <c r="AU21" s="1">
        <f t="shared" si="47"/>
        <v>0.07139984896185797</v>
      </c>
      <c r="AV21" s="1">
        <f t="shared" si="48"/>
        <v>0.05219468198824158</v>
      </c>
      <c r="AW21" s="1">
        <f t="shared" si="49"/>
        <v>0</v>
      </c>
      <c r="AX21" s="1">
        <f t="shared" si="50"/>
        <v>0.48505870326812955</v>
      </c>
      <c r="AY21" s="1">
        <f t="shared" si="51"/>
        <v>0.284249983059129</v>
      </c>
      <c r="AZ21" s="1">
        <f t="shared" si="52"/>
        <v>0.011294166240446345</v>
      </c>
      <c r="BA21" s="1">
        <f t="shared" si="53"/>
        <v>0</v>
      </c>
      <c r="BB21" s="1">
        <f t="shared" si="54"/>
        <v>0.007894830333517107</v>
      </c>
      <c r="BC21" s="1">
        <f t="shared" si="55"/>
        <v>1.7705527434738686</v>
      </c>
      <c r="BE21" s="15">
        <f t="shared" si="56"/>
        <v>1.7169210592450939</v>
      </c>
      <c r="BF21" s="15">
        <f t="shared" si="56"/>
        <v>0</v>
      </c>
      <c r="BG21" s="15">
        <f t="shared" si="57"/>
        <v>0.2141995468855739</v>
      </c>
      <c r="BH21" s="15">
        <f t="shared" si="58"/>
        <v>0.05219468198824158</v>
      </c>
      <c r="BI21" s="15">
        <f t="shared" si="58"/>
        <v>0</v>
      </c>
      <c r="BJ21" s="15">
        <f t="shared" si="58"/>
        <v>0.48505870326812955</v>
      </c>
      <c r="BK21" s="15">
        <f t="shared" si="58"/>
        <v>0.284249983059129</v>
      </c>
      <c r="BL21" s="15">
        <f t="shared" si="58"/>
        <v>0.011294166240446345</v>
      </c>
      <c r="BM21" s="15">
        <f t="shared" si="58"/>
        <v>0</v>
      </c>
      <c r="BN21" s="15">
        <f t="shared" si="59"/>
        <v>0.023684491000551318</v>
      </c>
      <c r="BO21" s="15">
        <f t="shared" si="60"/>
        <v>2.7876026316871654</v>
      </c>
      <c r="BP21" s="15">
        <f t="shared" si="61"/>
        <v>2.1523871199563933</v>
      </c>
      <c r="BR21" s="22">
        <f t="shared" si="62"/>
        <v>1.8477393869505139</v>
      </c>
      <c r="BS21" s="22">
        <f t="shared" si="63"/>
        <v>0</v>
      </c>
      <c r="BT21" s="22">
        <f t="shared" si="64"/>
        <v>0.15226061304948613</v>
      </c>
      <c r="BU21" s="22">
        <f t="shared" si="65"/>
        <v>0.1550996174951838</v>
      </c>
      <c r="BV21" s="22">
        <f t="shared" si="66"/>
        <v>0.30736023054466993</v>
      </c>
      <c r="BW21" s="22">
        <f t="shared" si="67"/>
        <v>0.11234316124171113</v>
      </c>
      <c r="BX21" s="22">
        <f t="shared" si="68"/>
        <v>0</v>
      </c>
      <c r="BY21" s="22">
        <f t="shared" si="69"/>
        <v>1.044034105337072</v>
      </c>
      <c r="BZ21" s="22">
        <f t="shared" si="70"/>
        <v>0.6118160023842923</v>
      </c>
      <c r="CA21" s="22">
        <f t="shared" si="71"/>
        <v>0.04861883589316607</v>
      </c>
      <c r="CB21" s="22">
        <f t="shared" si="72"/>
        <v>0</v>
      </c>
      <c r="CC21" s="22">
        <f t="shared" si="73"/>
        <v>0.03398546224820651</v>
      </c>
      <c r="CD21" s="15">
        <f t="shared" si="74"/>
        <v>4.005897184599632</v>
      </c>
      <c r="CE21" s="15">
        <f t="shared" si="75"/>
        <v>0.011794369199261877</v>
      </c>
      <c r="CF21" s="15">
        <f t="shared" si="76"/>
        <v>0.01766550960609692</v>
      </c>
      <c r="CG21" s="15">
        <f t="shared" si="77"/>
        <v>0.04861883589316607</v>
      </c>
      <c r="CH21" s="15">
        <f t="shared" si="78"/>
        <v>0.10648078160201774</v>
      </c>
      <c r="CI21" s="15">
        <f t="shared" si="79"/>
        <v>0.022889915723734194</v>
      </c>
      <c r="CJ21" s="15">
        <f t="shared" si="80"/>
        <v>0.016992731124103256</v>
      </c>
      <c r="CK21" s="15">
        <f t="shared" si="81"/>
        <v>0.4654525739344371</v>
      </c>
      <c r="CL21" s="15">
        <f t="shared" si="82"/>
        <v>0.3454623463221731</v>
      </c>
      <c r="CM21" s="15">
        <f t="shared" si="83"/>
        <v>0.3119003478312873</v>
      </c>
      <c r="CN21" s="15">
        <f t="shared" si="84"/>
        <v>0.42023340967449746</v>
      </c>
      <c r="CO21" s="15">
        <f t="shared" si="85"/>
        <v>1.0058971845996316</v>
      </c>
      <c r="CP21" s="15">
        <f t="shared" si="86"/>
        <v>0.46545257393443706</v>
      </c>
      <c r="CQ21" s="15"/>
      <c r="CR21" s="1">
        <f t="shared" si="87"/>
        <v>0.912152459841352</v>
      </c>
      <c r="CS21" s="15">
        <f t="shared" si="88"/>
        <v>0.10054879204244926</v>
      </c>
      <c r="CT21" s="59">
        <f t="shared" si="89"/>
        <v>0.29033757099231405</v>
      </c>
      <c r="CU21" s="22">
        <f t="shared" si="90"/>
        <v>0.4963113132676807</v>
      </c>
      <c r="CV21" s="22">
        <f t="shared" si="91"/>
        <v>0.4031961820108535</v>
      </c>
      <c r="CW21" s="22">
        <f t="shared" si="11"/>
        <v>0.7289197763567364</v>
      </c>
      <c r="CX21" s="22">
        <f t="shared" si="12"/>
        <v>0.07020077470061131</v>
      </c>
      <c r="CY21" s="22">
        <f t="shared" si="13"/>
        <v>0.3097351975416428</v>
      </c>
      <c r="CZ21" s="22">
        <f t="shared" si="14"/>
        <v>0.02982996418089879</v>
      </c>
      <c r="DA21" s="22">
        <f t="shared" si="15"/>
        <v>0.22577211092186386</v>
      </c>
      <c r="DB21" s="22">
        <f t="shared" si="16"/>
        <v>0.2733559775978762</v>
      </c>
      <c r="DC21" s="1">
        <f t="shared" si="17"/>
        <v>0.9053945872715501</v>
      </c>
      <c r="DD21" s="1">
        <f t="shared" si="18"/>
        <v>0</v>
      </c>
      <c r="DE21" s="1">
        <f t="shared" si="19"/>
        <v>0.05296142642775179</v>
      </c>
      <c r="DF21" s="1">
        <f t="shared" si="20"/>
        <v>0.08211963299483342</v>
      </c>
      <c r="DG21" s="1">
        <f t="shared" si="21"/>
        <v>0</v>
      </c>
      <c r="DH21" s="1">
        <f t="shared" si="22"/>
        <v>0.7741090302795725</v>
      </c>
      <c r="DI21" s="1">
        <f t="shared" si="23"/>
        <v>0.04101474034102865</v>
      </c>
      <c r="DJ21" s="1">
        <f t="shared" si="24"/>
        <v>0.0032269046401275274</v>
      </c>
      <c r="DK21" s="1">
        <f t="shared" si="25"/>
        <v>0</v>
      </c>
      <c r="DL21" s="1">
        <f t="shared" si="26"/>
        <v>0.003947415166758553</v>
      </c>
      <c r="DM21" s="1">
        <f t="shared" si="92"/>
        <v>1.8627737371216222</v>
      </c>
      <c r="DO21" s="15">
        <f t="shared" si="93"/>
        <v>1.8107891745431002</v>
      </c>
      <c r="DP21" s="15">
        <f t="shared" si="93"/>
        <v>0</v>
      </c>
      <c r="DQ21" s="15">
        <f t="shared" si="94"/>
        <v>0.15888427928325538</v>
      </c>
      <c r="DR21" s="15">
        <f t="shared" si="95"/>
        <v>0.08211963299483342</v>
      </c>
      <c r="DS21" s="15">
        <f t="shared" si="95"/>
        <v>0</v>
      </c>
      <c r="DT21" s="15">
        <f t="shared" si="95"/>
        <v>0.7741090302795725</v>
      </c>
      <c r="DU21" s="15">
        <f t="shared" si="95"/>
        <v>0.04101474034102865</v>
      </c>
      <c r="DV21" s="15">
        <f t="shared" si="95"/>
        <v>0.0032269046401275274</v>
      </c>
      <c r="DW21" s="15">
        <f t="shared" si="95"/>
        <v>0</v>
      </c>
      <c r="DX21" s="15">
        <f t="shared" si="96"/>
        <v>0.011842245500275659</v>
      </c>
      <c r="DY21" s="15">
        <f t="shared" si="97"/>
        <v>2.881986007582193</v>
      </c>
      <c r="DZ21" s="15">
        <f t="shared" si="98"/>
        <v>2.081897685906403</v>
      </c>
      <c r="EB21" s="22">
        <f t="shared" si="99"/>
        <v>1.8849388960728228</v>
      </c>
      <c r="EC21" s="22">
        <f t="shared" si="100"/>
        <v>0</v>
      </c>
      <c r="ED21" s="22">
        <f t="shared" si="101"/>
        <v>0.11506110392717717</v>
      </c>
      <c r="EE21" s="22">
        <f t="shared" si="102"/>
        <v>0.10545943831730017</v>
      </c>
      <c r="EF21" s="22">
        <f t="shared" si="103"/>
        <v>0.22052054224447734</v>
      </c>
      <c r="EG21" s="22">
        <f t="shared" si="104"/>
        <v>0.1709646738994268</v>
      </c>
      <c r="EH21" s="22">
        <f t="shared" si="105"/>
        <v>0</v>
      </c>
      <c r="EI21" s="22">
        <f t="shared" si="106"/>
        <v>1.6116157987782915</v>
      </c>
      <c r="EJ21" s="22">
        <f t="shared" si="107"/>
        <v>0.08538849300403954</v>
      </c>
      <c r="EK21" s="22">
        <f t="shared" si="108"/>
        <v>0.013436170605844266</v>
      </c>
      <c r="EL21" s="22">
        <f t="shared" si="109"/>
        <v>0</v>
      </c>
      <c r="EM21" s="22">
        <f t="shared" si="110"/>
        <v>0.01643622900197294</v>
      </c>
      <c r="EN21" s="15">
        <f t="shared" si="111"/>
        <v>4.003300803606875</v>
      </c>
      <c r="EO21" s="15">
        <f t="shared" si="112"/>
        <v>0.006601607213748313</v>
      </c>
      <c r="EP21" s="15">
        <f t="shared" si="113"/>
        <v>0.009894246079836577</v>
      </c>
      <c r="EQ21" s="15">
        <f t="shared" si="114"/>
        <v>0.013436170605844266</v>
      </c>
      <c r="ER21" s="15">
        <f t="shared" si="115"/>
        <v>0</v>
      </c>
      <c r="ES21" s="15">
        <f t="shared" si="116"/>
        <v>0.01643622900197294</v>
      </c>
      <c r="ET21" s="15">
        <f t="shared" si="117"/>
        <v>0.07558703870948297</v>
      </c>
      <c r="EU21" s="15">
        <f t="shared" si="118"/>
        <v>0.08538849300403954</v>
      </c>
      <c r="EV21" s="15">
        <f t="shared" si="119"/>
        <v>0.8108024704820979</v>
      </c>
      <c r="EW21" s="15">
        <f t="shared" si="120"/>
        <v>0.7330395968909862</v>
      </c>
      <c r="EX21" s="15">
        <f t="shared" si="121"/>
        <v>0.07719900810562709</v>
      </c>
      <c r="EY21" s="59">
        <f t="shared" si="122"/>
        <v>0.647330384782533</v>
      </c>
      <c r="EZ21" s="15">
        <f t="shared" si="123"/>
        <v>0.08538849300403956</v>
      </c>
      <c r="FA21" s="15">
        <f t="shared" si="124"/>
        <v>0.09254787310925518</v>
      </c>
      <c r="FB21" s="15">
        <f t="shared" si="125"/>
        <v>0.6859862380977085</v>
      </c>
      <c r="FC21" s="22">
        <f t="shared" si="126"/>
        <v>0.9074521268907447</v>
      </c>
      <c r="FD21" s="22">
        <f t="shared" si="127"/>
        <v>0.7908470018160905</v>
      </c>
      <c r="FE21" s="22">
        <f t="shared" si="128"/>
        <v>0.08065572365088806</v>
      </c>
      <c r="FF21" s="22">
        <f t="shared" si="129"/>
        <v>0.8177734757086933</v>
      </c>
      <c r="FG21" s="22">
        <f t="shared" si="130"/>
        <v>0.08340186068142291</v>
      </c>
      <c r="FH21" s="58">
        <f t="shared" si="131"/>
        <v>0.6467337014289437</v>
      </c>
      <c r="FI21" s="15">
        <f t="shared" si="132"/>
        <v>1.0016504018034376</v>
      </c>
      <c r="FK21" s="1">
        <f t="shared" si="28"/>
        <v>1350</v>
      </c>
      <c r="FL21" s="1">
        <f t="shared" si="133"/>
        <v>15</v>
      </c>
      <c r="FN21" s="1">
        <f t="shared" si="29"/>
        <v>0.4037128089509289</v>
      </c>
      <c r="FO21" s="1">
        <f t="shared" si="134"/>
        <v>1399.4931197994383</v>
      </c>
      <c r="FQ21" s="1">
        <f t="shared" si="30"/>
        <v>1213.068400493263</v>
      </c>
      <c r="FR21" s="1">
        <f t="shared" si="31"/>
        <v>1113.016661834508</v>
      </c>
      <c r="FS21" s="1">
        <f t="shared" si="32"/>
        <v>1521.497659787579</v>
      </c>
      <c r="FT21" s="1">
        <f t="shared" si="33"/>
        <v>1371.6338981389451</v>
      </c>
      <c r="FU21" s="1">
        <f t="shared" si="135"/>
        <v>0.3490959423067414</v>
      </c>
      <c r="FV21" s="1">
        <f t="shared" si="136"/>
        <v>1440.4911324784262</v>
      </c>
      <c r="FW21" s="1">
        <f t="shared" si="34"/>
        <v>1392.3377723333979</v>
      </c>
      <c r="FY21" s="1">
        <f t="shared" si="137"/>
        <v>1339.2619762158247</v>
      </c>
      <c r="FZ21" s="1">
        <f t="shared" si="138"/>
        <v>984.7768228673643</v>
      </c>
      <c r="GB21" s="1">
        <f t="shared" si="35"/>
        <v>33.70065368737785</v>
      </c>
      <c r="GC21" s="1">
        <f t="shared" si="36"/>
        <v>26.771516741663074</v>
      </c>
      <c r="GE21" s="1">
        <f t="shared" si="139"/>
        <v>25.89565</v>
      </c>
      <c r="GF21" s="1">
        <f t="shared" si="140"/>
        <v>31.143099999999997</v>
      </c>
      <c r="GG21" s="1">
        <f t="shared" si="141"/>
        <v>2.3649999999999984</v>
      </c>
      <c r="GH21" s="1">
        <f t="shared" si="37"/>
        <v>780.9092949116283</v>
      </c>
      <c r="GI21" s="1">
        <f t="shared" si="38"/>
        <v>1464.963789468853</v>
      </c>
      <c r="GK21" s="1">
        <f t="shared" si="142"/>
        <v>1311.8227832618845</v>
      </c>
      <c r="GL21" s="1">
        <f aca="true" t="shared" si="145" ref="GL21:GL27">-273.15+((35000+61.5*FL21)/((LN(EK21/CA21))^2+19.8))</f>
        <v>1401.2501282572393</v>
      </c>
      <c r="GN21" s="1">
        <f t="shared" si="143"/>
        <v>1311.2754330091916</v>
      </c>
      <c r="GP21" s="1">
        <f t="shared" si="39"/>
        <v>14.80987666987583</v>
      </c>
      <c r="GQ21" s="1">
        <f t="shared" si="144"/>
        <v>-0.1901233301241696</v>
      </c>
      <c r="GR21" s="2">
        <f t="shared" si="40"/>
        <v>15</v>
      </c>
    </row>
    <row r="22" spans="1:200" ht="14.25">
      <c r="A22" s="1" t="s">
        <v>47</v>
      </c>
      <c r="B22" s="1" t="s">
        <v>48</v>
      </c>
      <c r="C22" s="23">
        <v>1.5</v>
      </c>
      <c r="D22" s="2">
        <v>1325</v>
      </c>
      <c r="F22" s="1">
        <v>3030</v>
      </c>
      <c r="G22" s="23">
        <v>51.12</v>
      </c>
      <c r="H22" s="23">
        <v>0.1</v>
      </c>
      <c r="I22" s="23">
        <v>8.07</v>
      </c>
      <c r="J22" s="23">
        <v>3.57</v>
      </c>
      <c r="K22" s="23">
        <v>0</v>
      </c>
      <c r="L22" s="23">
        <v>17.95</v>
      </c>
      <c r="M22" s="23">
        <v>17.26</v>
      </c>
      <c r="N22" s="23">
        <v>0.77</v>
      </c>
      <c r="O22" s="23">
        <v>0</v>
      </c>
      <c r="P22" s="23">
        <v>1.16</v>
      </c>
      <c r="R22" s="23">
        <v>54.1</v>
      </c>
      <c r="S22" s="23">
        <v>0</v>
      </c>
      <c r="T22" s="23">
        <v>5.7</v>
      </c>
      <c r="U22" s="23">
        <v>6.3</v>
      </c>
      <c r="V22" s="23">
        <v>0</v>
      </c>
      <c r="W22" s="23">
        <v>31.5</v>
      </c>
      <c r="X22" s="23">
        <v>1.65</v>
      </c>
      <c r="Y22" s="23">
        <v>0.25</v>
      </c>
      <c r="Z22" s="23">
        <v>0</v>
      </c>
      <c r="AA22" s="23">
        <v>0.5</v>
      </c>
      <c r="AC22" s="50">
        <f t="shared" si="41"/>
        <v>1344.1488038455816</v>
      </c>
      <c r="AD22" s="50">
        <f t="shared" si="0"/>
        <v>17.02961098284128</v>
      </c>
      <c r="AE22" s="69">
        <f t="shared" si="42"/>
        <v>0.8996276678176244</v>
      </c>
      <c r="AF22" s="27">
        <f t="shared" si="1"/>
        <v>1258.9355092663427</v>
      </c>
      <c r="AG22" s="27"/>
      <c r="AH22" s="27">
        <f t="shared" si="2"/>
        <v>1344.1488038455816</v>
      </c>
      <c r="AI22" s="27">
        <f t="shared" si="3"/>
        <v>1311.2679853678865</v>
      </c>
      <c r="AJ22" s="27">
        <f t="shared" si="4"/>
        <v>14.906103538311488</v>
      </c>
      <c r="AK22" s="27">
        <f t="shared" si="5"/>
        <v>17.02961098284128</v>
      </c>
      <c r="AL22" s="27">
        <f t="shared" si="43"/>
        <v>1283.0122749691127</v>
      </c>
      <c r="AM22" s="27">
        <f t="shared" si="44"/>
        <v>1234.3618847781736</v>
      </c>
      <c r="AN22" s="29">
        <f t="shared" si="6"/>
        <v>1256.2488787153898</v>
      </c>
      <c r="AO22" s="42">
        <f t="shared" si="7"/>
        <v>0.9944289693593317</v>
      </c>
      <c r="AP22" s="44"/>
      <c r="AQ22" s="1">
        <f t="shared" si="8"/>
        <v>0.18256578429762702</v>
      </c>
      <c r="AS22" s="1">
        <f t="shared" si="45"/>
        <v>0.850804619509589</v>
      </c>
      <c r="AT22" s="1">
        <f t="shared" si="46"/>
        <v>0.0012518966233844276</v>
      </c>
      <c r="AU22" s="1">
        <f t="shared" si="47"/>
        <v>0.07914790949480684</v>
      </c>
      <c r="AV22" s="1">
        <f t="shared" si="48"/>
        <v>0.049689337252805985</v>
      </c>
      <c r="AW22" s="1">
        <f t="shared" si="49"/>
        <v>0</v>
      </c>
      <c r="AX22" s="1">
        <f t="shared" si="50"/>
        <v>0.4453608042794335</v>
      </c>
      <c r="AY22" s="1">
        <f t="shared" si="51"/>
        <v>0.3077888775157194</v>
      </c>
      <c r="AZ22" s="1">
        <f t="shared" si="52"/>
        <v>0.01242358286449098</v>
      </c>
      <c r="BA22" s="1">
        <f t="shared" si="53"/>
        <v>0</v>
      </c>
      <c r="BB22" s="1">
        <f t="shared" si="54"/>
        <v>0.0076316693223998705</v>
      </c>
      <c r="BC22" s="1">
        <f t="shared" si="55"/>
        <v>1.75409869686263</v>
      </c>
      <c r="BE22" s="15">
        <f t="shared" si="56"/>
        <v>1.701609239019178</v>
      </c>
      <c r="BF22" s="15">
        <f t="shared" si="56"/>
        <v>0.002503793246768855</v>
      </c>
      <c r="BG22" s="15">
        <f t="shared" si="57"/>
        <v>0.23744372848442052</v>
      </c>
      <c r="BH22" s="15">
        <f t="shared" si="58"/>
        <v>0.049689337252805985</v>
      </c>
      <c r="BI22" s="15">
        <f t="shared" si="58"/>
        <v>0</v>
      </c>
      <c r="BJ22" s="15">
        <f t="shared" si="58"/>
        <v>0.4453608042794335</v>
      </c>
      <c r="BK22" s="15">
        <f t="shared" si="58"/>
        <v>0.3077888775157194</v>
      </c>
      <c r="BL22" s="15">
        <f t="shared" si="58"/>
        <v>0.01242358286449098</v>
      </c>
      <c r="BM22" s="15">
        <f t="shared" si="58"/>
        <v>0</v>
      </c>
      <c r="BN22" s="15">
        <f t="shared" si="59"/>
        <v>0.02289500796719961</v>
      </c>
      <c r="BO22" s="15">
        <f t="shared" si="60"/>
        <v>2.7797143706300167</v>
      </c>
      <c r="BP22" s="15">
        <f t="shared" si="61"/>
        <v>2.1584951545363675</v>
      </c>
      <c r="BR22" s="22">
        <f t="shared" si="62"/>
        <v>1.8364576486686057</v>
      </c>
      <c r="BS22" s="22">
        <f t="shared" si="63"/>
        <v>0.0027022127955557266</v>
      </c>
      <c r="BT22" s="22">
        <f t="shared" si="64"/>
        <v>0.16354235133139428</v>
      </c>
      <c r="BU22" s="22">
        <f t="shared" si="65"/>
        <v>0.17813840694105276</v>
      </c>
      <c r="BV22" s="22">
        <f t="shared" si="66"/>
        <v>0.34168075827244704</v>
      </c>
      <c r="BW22" s="22">
        <f t="shared" si="67"/>
        <v>0.10725419369230514</v>
      </c>
      <c r="BX22" s="22">
        <f t="shared" si="68"/>
        <v>0</v>
      </c>
      <c r="BY22" s="22">
        <f t="shared" si="69"/>
        <v>0.9613091380575767</v>
      </c>
      <c r="BZ22" s="22">
        <f t="shared" si="70"/>
        <v>0.6643608007378677</v>
      </c>
      <c r="CA22" s="22">
        <f t="shared" si="71"/>
        <v>0.05363248682996965</v>
      </c>
      <c r="CB22" s="22">
        <f t="shared" si="72"/>
        <v>0</v>
      </c>
      <c r="CC22" s="22">
        <f t="shared" si="73"/>
        <v>0.03294584250684793</v>
      </c>
      <c r="CD22" s="15">
        <f t="shared" si="74"/>
        <v>4.000343081561176</v>
      </c>
      <c r="CE22" s="15">
        <f t="shared" si="75"/>
        <v>0.000686163122351785</v>
      </c>
      <c r="CF22" s="15">
        <f t="shared" si="76"/>
        <v>0.0010291564123789954</v>
      </c>
      <c r="CG22" s="15">
        <f t="shared" si="77"/>
        <v>0.05363248682996965</v>
      </c>
      <c r="CH22" s="15">
        <f t="shared" si="78"/>
        <v>0.12450592011108311</v>
      </c>
      <c r="CI22" s="15">
        <f t="shared" si="79"/>
        <v>0.019518215610155584</v>
      </c>
      <c r="CJ22" s="15">
        <f t="shared" si="80"/>
        <v>0.016472921253423964</v>
      </c>
      <c r="CK22" s="15">
        <f t="shared" si="81"/>
        <v>0.5038637437632052</v>
      </c>
      <c r="CL22" s="15">
        <f t="shared" si="82"/>
        <v>0.28234979399333826</v>
      </c>
      <c r="CM22" s="15">
        <f t="shared" si="83"/>
        <v>0.25400968667901364</v>
      </c>
      <c r="CN22" s="15">
        <f t="shared" si="84"/>
        <v>0.4532897646995494</v>
      </c>
      <c r="CO22" s="15">
        <f t="shared" si="85"/>
        <v>1.0003430815611758</v>
      </c>
      <c r="CP22" s="15">
        <f t="shared" si="86"/>
        <v>0.5038637437632052</v>
      </c>
      <c r="CQ22" s="15"/>
      <c r="CR22" s="1">
        <f t="shared" si="87"/>
        <v>0.9002057224363004</v>
      </c>
      <c r="CS22" s="15">
        <f t="shared" si="88"/>
        <v>0.10656803056995336</v>
      </c>
      <c r="CT22" s="59">
        <f t="shared" si="89"/>
        <v>0.24679907386681676</v>
      </c>
      <c r="CU22" s="22">
        <f t="shared" si="90"/>
        <v>0.5306684937570609</v>
      </c>
      <c r="CV22" s="22">
        <f t="shared" si="91"/>
        <v>0.35788235797486057</v>
      </c>
      <c r="CW22" s="22">
        <f t="shared" si="11"/>
        <v>0.7071362377760629</v>
      </c>
      <c r="CX22" s="22">
        <f t="shared" si="12"/>
        <v>0.07839113685812879</v>
      </c>
      <c r="CY22" s="22">
        <f t="shared" si="13"/>
        <v>0.25386405629688097</v>
      </c>
      <c r="CZ22" s="22">
        <f t="shared" si="14"/>
        <v>0.02814265613528166</v>
      </c>
      <c r="DA22" s="22">
        <f t="shared" si="15"/>
        <v>0.17951647367634704</v>
      </c>
      <c r="DB22" s="22">
        <f t="shared" si="16"/>
        <v>0.2216207437492195</v>
      </c>
      <c r="DC22" s="1">
        <f t="shared" si="17"/>
        <v>0.9004016024152732</v>
      </c>
      <c r="DD22" s="1">
        <f t="shared" si="18"/>
        <v>0</v>
      </c>
      <c r="DE22" s="1">
        <f t="shared" si="19"/>
        <v>0.05590372789596022</v>
      </c>
      <c r="DF22" s="1">
        <f t="shared" si="20"/>
        <v>0.08768706574024585</v>
      </c>
      <c r="DG22" s="1">
        <f t="shared" si="21"/>
        <v>0</v>
      </c>
      <c r="DH22" s="1">
        <f t="shared" si="22"/>
        <v>0.7815523863399529</v>
      </c>
      <c r="DI22" s="1">
        <f t="shared" si="23"/>
        <v>0.029423618070737945</v>
      </c>
      <c r="DJ22" s="1">
        <f t="shared" si="24"/>
        <v>0.004033630800159409</v>
      </c>
      <c r="DK22" s="1">
        <f t="shared" si="25"/>
        <v>0</v>
      </c>
      <c r="DL22" s="1">
        <f t="shared" si="26"/>
        <v>0.0032895126389654613</v>
      </c>
      <c r="DM22" s="1">
        <f t="shared" si="92"/>
        <v>1.8622915439012948</v>
      </c>
      <c r="DO22" s="15">
        <f t="shared" si="93"/>
        <v>1.8008032048305465</v>
      </c>
      <c r="DP22" s="15">
        <f t="shared" si="93"/>
        <v>0</v>
      </c>
      <c r="DQ22" s="15">
        <f t="shared" si="94"/>
        <v>0.16771118368788068</v>
      </c>
      <c r="DR22" s="15">
        <f t="shared" si="95"/>
        <v>0.08768706574024585</v>
      </c>
      <c r="DS22" s="15">
        <f t="shared" si="95"/>
        <v>0</v>
      </c>
      <c r="DT22" s="15">
        <f t="shared" si="95"/>
        <v>0.7815523863399529</v>
      </c>
      <c r="DU22" s="15">
        <f t="shared" si="95"/>
        <v>0.029423618070737945</v>
      </c>
      <c r="DV22" s="15">
        <f t="shared" si="95"/>
        <v>0.004033630800159409</v>
      </c>
      <c r="DW22" s="15">
        <f t="shared" si="95"/>
        <v>0</v>
      </c>
      <c r="DX22" s="15">
        <f t="shared" si="96"/>
        <v>0.009868537916896384</v>
      </c>
      <c r="DY22" s="15">
        <f t="shared" si="97"/>
        <v>2.88107962738642</v>
      </c>
      <c r="DZ22" s="15">
        <f t="shared" si="98"/>
        <v>2.0825526455313277</v>
      </c>
      <c r="EB22" s="22">
        <f t="shared" si="99"/>
        <v>1.875133739150574</v>
      </c>
      <c r="EC22" s="22">
        <f t="shared" si="100"/>
        <v>0</v>
      </c>
      <c r="ED22" s="22">
        <f t="shared" si="101"/>
        <v>0.12486626084942598</v>
      </c>
      <c r="EE22" s="22">
        <f t="shared" si="102"/>
        <v>0.1079786520001649</v>
      </c>
      <c r="EF22" s="22">
        <f t="shared" si="103"/>
        <v>0.23284491284959088</v>
      </c>
      <c r="EG22" s="22">
        <f t="shared" si="104"/>
        <v>0.18261293073622845</v>
      </c>
      <c r="EH22" s="22">
        <f t="shared" si="105"/>
        <v>0</v>
      </c>
      <c r="EI22" s="22">
        <f t="shared" si="106"/>
        <v>1.6276239897935914</v>
      </c>
      <c r="EJ22" s="22">
        <f t="shared" si="107"/>
        <v>0.06127623365431869</v>
      </c>
      <c r="EK22" s="22">
        <f t="shared" si="108"/>
        <v>0.016800496987937247</v>
      </c>
      <c r="EL22" s="22">
        <f t="shared" si="109"/>
        <v>0</v>
      </c>
      <c r="EM22" s="22">
        <f t="shared" si="110"/>
        <v>0.013701166497572522</v>
      </c>
      <c r="EN22" s="15">
        <f t="shared" si="111"/>
        <v>4.009993469669814</v>
      </c>
      <c r="EO22" s="15">
        <f t="shared" si="112"/>
        <v>0.019986939339625812</v>
      </c>
      <c r="EP22" s="15">
        <f t="shared" si="113"/>
        <v>0.029905693598957228</v>
      </c>
      <c r="EQ22" s="15">
        <f t="shared" si="114"/>
        <v>0.016800496987937247</v>
      </c>
      <c r="ER22" s="15">
        <f t="shared" si="115"/>
        <v>0</v>
      </c>
      <c r="ES22" s="15">
        <f t="shared" si="116"/>
        <v>0.013701166497572522</v>
      </c>
      <c r="ET22" s="15">
        <f t="shared" si="117"/>
        <v>0.07747698851465513</v>
      </c>
      <c r="EU22" s="15">
        <f t="shared" si="118"/>
        <v>0.06127623365431869</v>
      </c>
      <c r="EV22" s="15">
        <f t="shared" si="119"/>
        <v>0.835741849180423</v>
      </c>
      <c r="EW22" s="15">
        <f t="shared" si="120"/>
        <v>0.7514339518621626</v>
      </c>
      <c r="EX22" s="15">
        <f t="shared" si="121"/>
        <v>0.05509481481063605</v>
      </c>
      <c r="EY22" s="59">
        <f t="shared" si="122"/>
        <v>0.656377632234921</v>
      </c>
      <c r="EZ22" s="15">
        <f t="shared" si="123"/>
        <v>0.06127623365431869</v>
      </c>
      <c r="FA22" s="15">
        <f t="shared" si="124"/>
        <v>0.090839822988567</v>
      </c>
      <c r="FB22" s="15">
        <f t="shared" si="125"/>
        <v>0.6893929973283167</v>
      </c>
      <c r="FC22" s="22">
        <f t="shared" si="126"/>
        <v>0.909160177011433</v>
      </c>
      <c r="FD22" s="22">
        <f t="shared" si="127"/>
        <v>0.7803624023793801</v>
      </c>
      <c r="FE22" s="22">
        <f t="shared" si="128"/>
        <v>0.07797083978325671</v>
      </c>
      <c r="FF22" s="22">
        <f t="shared" si="129"/>
        <v>0.8381759227602457</v>
      </c>
      <c r="FG22" s="22">
        <f t="shared" si="130"/>
        <v>0.08374734659749841</v>
      </c>
      <c r="FH22" s="58">
        <f t="shared" si="131"/>
        <v>0.6540809767017389</v>
      </c>
      <c r="FI22" s="15">
        <f t="shared" si="132"/>
        <v>1.0049967348349067</v>
      </c>
      <c r="FK22" s="1">
        <f t="shared" si="28"/>
        <v>1325</v>
      </c>
      <c r="FL22" s="1">
        <f t="shared" si="133"/>
        <v>15</v>
      </c>
      <c r="FN22" s="1">
        <f t="shared" si="29"/>
        <v>0.3355276674206762</v>
      </c>
      <c r="FO22" s="1">
        <f t="shared" si="134"/>
        <v>1346.2253357010425</v>
      </c>
      <c r="FQ22" s="1">
        <f t="shared" si="30"/>
        <v>1109.1299915510276</v>
      </c>
      <c r="FR22" s="1">
        <f t="shared" si="31"/>
        <v>1007.2328242586124</v>
      </c>
      <c r="FS22" s="1">
        <f t="shared" si="32"/>
        <v>1419.0916089909276</v>
      </c>
      <c r="FT22" s="1">
        <f t="shared" si="33"/>
        <v>1261.7408067622544</v>
      </c>
      <c r="FU22" s="1">
        <f t="shared" si="135"/>
        <v>0.2744560384274967</v>
      </c>
      <c r="FV22" s="1">
        <f t="shared" si="136"/>
        <v>1307.5134244253022</v>
      </c>
      <c r="FW22" s="1">
        <f t="shared" si="34"/>
        <v>1248.860675082086</v>
      </c>
      <c r="FY22" s="1">
        <f t="shared" si="137"/>
        <v>1283.0122749691127</v>
      </c>
      <c r="FZ22" s="1">
        <f t="shared" si="138"/>
        <v>990.7282546494972</v>
      </c>
      <c r="GB22" s="1">
        <f t="shared" si="35"/>
        <v>44.92778778048417</v>
      </c>
      <c r="GC22" s="1">
        <f t="shared" si="36"/>
        <v>34.457946637871316</v>
      </c>
      <c r="GE22" s="1">
        <f t="shared" si="139"/>
        <v>25.89565</v>
      </c>
      <c r="GF22" s="1">
        <f t="shared" si="140"/>
        <v>31.143099999999997</v>
      </c>
      <c r="GG22" s="1">
        <f t="shared" si="141"/>
        <v>2.3649999999999984</v>
      </c>
      <c r="GH22" s="1">
        <f t="shared" si="37"/>
        <v>688.9192074562186</v>
      </c>
      <c r="GI22" s="1">
        <f t="shared" si="38"/>
        <v>1330.2705363143305</v>
      </c>
      <c r="GK22" s="1">
        <f t="shared" si="142"/>
        <v>1198.3635969141988</v>
      </c>
      <c r="GL22" s="1">
        <f t="shared" si="145"/>
        <v>1425.5276017017081</v>
      </c>
      <c r="GN22" s="1">
        <f t="shared" si="143"/>
        <v>1234.3618847781736</v>
      </c>
      <c r="GP22" s="1">
        <f t="shared" si="39"/>
        <v>14.906103538311488</v>
      </c>
      <c r="GQ22" s="1">
        <f t="shared" si="144"/>
        <v>-0.09389646168851229</v>
      </c>
      <c r="GR22" s="2">
        <f t="shared" si="40"/>
        <v>15</v>
      </c>
    </row>
    <row r="23" spans="1:200" ht="14.25">
      <c r="A23" s="1" t="s">
        <v>27</v>
      </c>
      <c r="B23" s="1" t="s">
        <v>28</v>
      </c>
      <c r="C23" s="23">
        <v>1</v>
      </c>
      <c r="D23" s="2">
        <v>1325</v>
      </c>
      <c r="F23" s="1">
        <v>1114</v>
      </c>
      <c r="G23" s="23">
        <v>52.5</v>
      </c>
      <c r="H23" s="23">
        <v>0</v>
      </c>
      <c r="I23" s="23">
        <v>5.19</v>
      </c>
      <c r="J23" s="23">
        <v>4.12</v>
      </c>
      <c r="K23" s="23">
        <v>0</v>
      </c>
      <c r="L23" s="23">
        <v>21.28</v>
      </c>
      <c r="M23" s="23">
        <v>15.45</v>
      </c>
      <c r="N23" s="23">
        <v>0</v>
      </c>
      <c r="O23" s="23">
        <v>0</v>
      </c>
      <c r="P23" s="23">
        <v>1.45</v>
      </c>
      <c r="R23" s="23">
        <v>55.2</v>
      </c>
      <c r="S23" s="23">
        <v>0</v>
      </c>
      <c r="T23" s="23">
        <v>3.3</v>
      </c>
      <c r="U23" s="23">
        <v>5.6</v>
      </c>
      <c r="V23" s="23">
        <v>0</v>
      </c>
      <c r="W23" s="23">
        <v>32.7</v>
      </c>
      <c r="X23" s="23">
        <v>2</v>
      </c>
      <c r="Y23" s="23">
        <v>0</v>
      </c>
      <c r="Z23" s="23">
        <v>0</v>
      </c>
      <c r="AA23" s="23">
        <v>1.3</v>
      </c>
      <c r="AC23" s="50">
        <f t="shared" si="41"/>
        <v>1317.3412718587153</v>
      </c>
      <c r="AD23" s="50">
        <f t="shared" si="0"/>
        <v>8.91574417398361</v>
      </c>
      <c r="AE23" s="69">
        <f t="shared" si="42"/>
        <v>0.9020298139140188</v>
      </c>
      <c r="AF23" s="27">
        <f t="shared" si="1"/>
        <v>1319.2195026829904</v>
      </c>
      <c r="AG23" s="27"/>
      <c r="AH23" s="27">
        <f t="shared" si="2"/>
        <v>1317.3412718587153</v>
      </c>
      <c r="AI23" s="27">
        <f t="shared" si="3"/>
        <v>1323.2809430193313</v>
      </c>
      <c r="AJ23" s="27">
        <f t="shared" si="4"/>
        <v>9.698615518121455</v>
      </c>
      <c r="AK23" s="27">
        <f t="shared" si="5"/>
        <v>8.91574417398361</v>
      </c>
      <c r="AL23" s="27">
        <f t="shared" si="43"/>
        <v>1393.8328164864338</v>
      </c>
      <c r="AM23" s="27">
        <f t="shared" si="44"/>
        <v>1369.998202757195</v>
      </c>
      <c r="AN23" s="29">
        <f t="shared" si="6"/>
        <v>1259.5899102327026</v>
      </c>
      <c r="AO23" s="42">
        <f t="shared" si="7"/>
        <v>1.1305383995703548</v>
      </c>
      <c r="AP23" s="44"/>
      <c r="AQ23" s="1">
        <f t="shared" si="8"/>
        <v>0.18204089426046283</v>
      </c>
      <c r="AS23" s="1">
        <f t="shared" si="45"/>
        <v>0.873772349848463</v>
      </c>
      <c r="AT23" s="1">
        <f t="shared" si="46"/>
        <v>0</v>
      </c>
      <c r="AU23" s="1">
        <f t="shared" si="47"/>
        <v>0.05090181540000589</v>
      </c>
      <c r="AV23" s="1">
        <f t="shared" si="48"/>
        <v>0.057344557277748086</v>
      </c>
      <c r="AW23" s="1">
        <f t="shared" si="49"/>
        <v>0</v>
      </c>
      <c r="AX23" s="1">
        <f t="shared" si="50"/>
        <v>0.5279820565496571</v>
      </c>
      <c r="AY23" s="1">
        <f t="shared" si="51"/>
        <v>0.2755120601169098</v>
      </c>
      <c r="AZ23" s="1">
        <f t="shared" si="52"/>
        <v>0</v>
      </c>
      <c r="BA23" s="1">
        <f t="shared" si="53"/>
        <v>0</v>
      </c>
      <c r="BB23" s="1">
        <f t="shared" si="54"/>
        <v>0.009539586652999837</v>
      </c>
      <c r="BC23" s="1">
        <f aca="true" t="shared" si="146" ref="BC23:BC29">SUM(AS23:BB23)</f>
        <v>1.795052425845784</v>
      </c>
      <c r="BE23" s="15">
        <f aca="true" t="shared" si="147" ref="BE23:BF29">AS23*2</f>
        <v>1.747544699696926</v>
      </c>
      <c r="BF23" s="15">
        <f t="shared" si="147"/>
        <v>0</v>
      </c>
      <c r="BG23" s="15">
        <f aca="true" t="shared" si="148" ref="BG23:BG29">AU23*3</f>
        <v>0.1527054462000177</v>
      </c>
      <c r="BH23" s="15">
        <f aca="true" t="shared" si="149" ref="BH23:BJ29">AV23</f>
        <v>0.057344557277748086</v>
      </c>
      <c r="BI23" s="15">
        <f t="shared" si="149"/>
        <v>0</v>
      </c>
      <c r="BJ23" s="15">
        <f t="shared" si="149"/>
        <v>0.5279820565496571</v>
      </c>
      <c r="BK23" s="15">
        <f aca="true" t="shared" si="150" ref="BK23:BM29">AY23</f>
        <v>0.2755120601169098</v>
      </c>
      <c r="BL23" s="15">
        <f t="shared" si="150"/>
        <v>0</v>
      </c>
      <c r="BM23" s="15">
        <f t="shared" si="150"/>
        <v>0</v>
      </c>
      <c r="BN23" s="15">
        <f aca="true" t="shared" si="151" ref="BN23:BN29">BB23*3</f>
        <v>0.028618759958999512</v>
      </c>
      <c r="BO23" s="15">
        <f aca="true" t="shared" si="152" ref="BO23:BO29">SUM(BE23:BN23)</f>
        <v>2.789707579800258</v>
      </c>
      <c r="BP23" s="15">
        <f aca="true" t="shared" si="153" ref="BP23:BP29">6/BO23</f>
        <v>2.1507630561155797</v>
      </c>
      <c r="BR23" s="22">
        <f t="shared" si="62"/>
        <v>1.8792772895093717</v>
      </c>
      <c r="BS23" s="22">
        <f t="shared" si="63"/>
        <v>0</v>
      </c>
      <c r="BT23" s="22">
        <f aca="true" t="shared" si="154" ref="BT23:BT29">2-BR23</f>
        <v>0.12072271049062833</v>
      </c>
      <c r="BU23" s="22">
        <f aca="true" t="shared" si="155" ref="BU23:BU29">IF(BV23-BT23&lt;0,0,BV23-BT23)</f>
        <v>0.09823277761246718</v>
      </c>
      <c r="BV23" s="22">
        <f t="shared" si="66"/>
        <v>0.2189554881030955</v>
      </c>
      <c r="BW23" s="22">
        <f t="shared" si="67"/>
        <v>0.12333455526228439</v>
      </c>
      <c r="BX23" s="22">
        <f t="shared" si="68"/>
        <v>0</v>
      </c>
      <c r="BY23" s="22">
        <f t="shared" si="69"/>
        <v>1.1355643015189294</v>
      </c>
      <c r="BZ23" s="22">
        <f t="shared" si="70"/>
        <v>0.5925611604137443</v>
      </c>
      <c r="CA23" s="22">
        <f t="shared" si="71"/>
        <v>0</v>
      </c>
      <c r="CB23" s="22">
        <f t="shared" si="72"/>
        <v>0</v>
      </c>
      <c r="CC23" s="22">
        <f t="shared" si="73"/>
        <v>0.04103478108777065</v>
      </c>
      <c r="CD23" s="15">
        <f aca="true" t="shared" si="156" ref="CD23:CD29">BR23+BS23+BV23+BW23+BX23+BY23+BZ23+CA23+CB23+CC23</f>
        <v>3.990727575895196</v>
      </c>
      <c r="CE23" s="15">
        <f aca="true" t="shared" si="157" ref="CE23:CE29">IF(CA23+BT23-BU23-2*BS23-CC23&gt;0,CA23+BT23-BU23-2*BS23-CC23,0)</f>
        <v>0</v>
      </c>
      <c r="CF23" s="15">
        <f aca="true" t="shared" si="158" ref="CF23:CF29">12-48/CD23</f>
        <v>-0.027881905527637585</v>
      </c>
      <c r="CG23" s="15">
        <f aca="true" t="shared" si="159" ref="CG23:CG29">IF(CA23&lt;BU23,CA23,BU23)</f>
        <v>0</v>
      </c>
      <c r="CH23" s="15">
        <f aca="true" t="shared" si="160" ref="CH23:CH29">IF(BU23&gt;CA23,BU23-CA23,0)</f>
        <v>0.09823277761246718</v>
      </c>
      <c r="CI23" s="15">
        <f aca="true" t="shared" si="161" ref="CI23:CI29">IF(BT23&gt;CH23,(BT23-CH23)/2,0)</f>
        <v>0.011244966439080573</v>
      </c>
      <c r="CJ23" s="15">
        <f aca="true" t="shared" si="162" ref="CJ23:CJ29">CC23/2</f>
        <v>0.020517390543885326</v>
      </c>
      <c r="CK23" s="15">
        <f aca="true" t="shared" si="163" ref="CK23:CK29">IF(BZ23-CI23-CH23-CJ23&gt;0,BZ23-CI23-CH23-CJ23,0)</f>
        <v>0.4625660258183112</v>
      </c>
      <c r="CL23" s="15">
        <f aca="true" t="shared" si="164" ref="CL23:CL29">((BW23+BY23)-CK23)/2</f>
        <v>0.3981664154814513</v>
      </c>
      <c r="CM23" s="15">
        <f aca="true" t="shared" si="165" ref="CM23:CM29">CL23*(BY23/(BY23+BX23+BW23))</f>
        <v>0.35915797766354546</v>
      </c>
      <c r="CN23" s="15">
        <f aca="true" t="shared" si="166" ref="CN23:CN29">CP23*(BY23/(BY23+BX23+BW23))</f>
        <v>0.4172483461918385</v>
      </c>
      <c r="CO23" s="15">
        <f aca="true" t="shared" si="167" ref="CO23:CO29">SUM(CG23:CL23)</f>
        <v>0.9907275758951957</v>
      </c>
      <c r="CP23" s="15">
        <f aca="true" t="shared" si="168" ref="CP23:CP29">BZ23-CH23-CI23-CJ23</f>
        <v>0.4625660258183112</v>
      </c>
      <c r="CQ23" s="15"/>
      <c r="CR23" s="1">
        <f aca="true" t="shared" si="169" ref="CR23:CR29">BY23/(BY23+CS23)</f>
        <v>0.9020298139140188</v>
      </c>
      <c r="CS23" s="15">
        <f aca="true" t="shared" si="170" ref="CS23:CS29">BW23-CE23</f>
        <v>0.12333455526228439</v>
      </c>
      <c r="CT23" s="59">
        <f t="shared" si="89"/>
        <v>0.34318004263124874</v>
      </c>
      <c r="CU23" s="22">
        <f t="shared" si="90"/>
        <v>0.4849067314494569</v>
      </c>
      <c r="CV23" s="22">
        <f aca="true" t="shared" si="171" ref="CV23:CV29">(BY23/(BZ23+BY23+BW23-CE23+BX23+CA23))*(BY23/(BW23+BV23+BS23+CC23+BY23))</f>
        <v>0.45854615041361363</v>
      </c>
      <c r="CW23" s="22">
        <f t="shared" si="11"/>
        <v>0.7764063238553836</v>
      </c>
      <c r="CX23" s="22">
        <f t="shared" si="12"/>
        <v>0.08432611744437857</v>
      </c>
      <c r="CY23" s="22">
        <f t="shared" si="13"/>
        <v>0.367521980653334</v>
      </c>
      <c r="CZ23" s="22">
        <f t="shared" si="14"/>
        <v>0.039916858932921705</v>
      </c>
      <c r="DA23" s="22">
        <f t="shared" si="15"/>
        <v>0.28534638993510447</v>
      </c>
      <c r="DB23" s="22">
        <f t="shared" si="16"/>
        <v>0.35447377279483333</v>
      </c>
      <c r="DC23" s="1">
        <f t="shared" si="17"/>
        <v>0.9187092135549554</v>
      </c>
      <c r="DD23" s="1">
        <f t="shared" si="18"/>
        <v>0</v>
      </c>
      <c r="DE23" s="1">
        <f t="shared" si="19"/>
        <v>0.032365316150292756</v>
      </c>
      <c r="DF23" s="1">
        <f t="shared" si="20"/>
        <v>0.0779440584357741</v>
      </c>
      <c r="DG23" s="1">
        <f t="shared" si="21"/>
        <v>0</v>
      </c>
      <c r="DH23" s="1">
        <f t="shared" si="22"/>
        <v>0.811325810581475</v>
      </c>
      <c r="DI23" s="1">
        <f t="shared" si="23"/>
        <v>0.03566499160089448</v>
      </c>
      <c r="DJ23" s="1">
        <f t="shared" si="24"/>
        <v>0</v>
      </c>
      <c r="DK23" s="1">
        <f t="shared" si="25"/>
        <v>0</v>
      </c>
      <c r="DL23" s="1">
        <f t="shared" si="26"/>
        <v>0.0085527328613102</v>
      </c>
      <c r="DM23" s="1">
        <f aca="true" t="shared" si="172" ref="DM23:DM29">SUM(DC23:DL23)</f>
        <v>1.8845621231847018</v>
      </c>
      <c r="DO23" s="15">
        <f aca="true" t="shared" si="173" ref="DO23:DP29">DC23*2</f>
        <v>1.8374184271099108</v>
      </c>
      <c r="DP23" s="15">
        <f t="shared" si="173"/>
        <v>0</v>
      </c>
      <c r="DQ23" s="15">
        <f aca="true" t="shared" si="174" ref="DQ23:DQ29">DE23*3</f>
        <v>0.09709594845087827</v>
      </c>
      <c r="DR23" s="15">
        <f aca="true" t="shared" si="175" ref="DR23:DT29">DF23</f>
        <v>0.0779440584357741</v>
      </c>
      <c r="DS23" s="15">
        <f t="shared" si="175"/>
        <v>0</v>
      </c>
      <c r="DT23" s="15">
        <f t="shared" si="175"/>
        <v>0.811325810581475</v>
      </c>
      <c r="DU23" s="15">
        <f aca="true" t="shared" si="176" ref="DU23:DW29">DI23</f>
        <v>0.03566499160089448</v>
      </c>
      <c r="DV23" s="15">
        <f t="shared" si="176"/>
        <v>0</v>
      </c>
      <c r="DW23" s="15">
        <f t="shared" si="176"/>
        <v>0</v>
      </c>
      <c r="DX23" s="15">
        <f aca="true" t="shared" si="177" ref="DX23:DX29">DL23*3</f>
        <v>0.025658198583930602</v>
      </c>
      <c r="DY23" s="15">
        <f aca="true" t="shared" si="178" ref="DY23:DY29">SUM(DO23:DX23)</f>
        <v>2.885107434762863</v>
      </c>
      <c r="DZ23" s="15">
        <f aca="true" t="shared" si="179" ref="DZ23:DZ29">6/DY23</f>
        <v>2.0796452595510226</v>
      </c>
      <c r="EB23" s="22">
        <f t="shared" si="99"/>
        <v>1.9105892608754111</v>
      </c>
      <c r="EC23" s="22">
        <f t="shared" si="100"/>
        <v>0</v>
      </c>
      <c r="ED23" s="22">
        <f aca="true" t="shared" si="180" ref="ED23:ED29">2-EB23</f>
        <v>0.08941073912458886</v>
      </c>
      <c r="EE23" s="22">
        <f aca="true" t="shared" si="181" ref="EE23:EE29">IF(EF23-ED23&lt;0,0,EF23-ED23)</f>
        <v>0.0452060134870641</v>
      </c>
      <c r="EF23" s="22">
        <f t="shared" si="103"/>
        <v>0.13461675261165296</v>
      </c>
      <c r="EG23" s="22">
        <f t="shared" si="104"/>
        <v>0.16209599163612548</v>
      </c>
      <c r="EH23" s="22">
        <f t="shared" si="105"/>
        <v>0</v>
      </c>
      <c r="EI23" s="22">
        <f t="shared" si="106"/>
        <v>1.6872698759271554</v>
      </c>
      <c r="EJ23" s="22">
        <f t="shared" si="107"/>
        <v>0.07417053071472725</v>
      </c>
      <c r="EK23" s="22">
        <f t="shared" si="108"/>
        <v>0</v>
      </c>
      <c r="EL23" s="22">
        <f t="shared" si="109"/>
        <v>0</v>
      </c>
      <c r="EM23" s="22">
        <f t="shared" si="110"/>
        <v>0.03557330070246002</v>
      </c>
      <c r="EN23" s="15">
        <f aca="true" t="shared" si="182" ref="EN23:EN29">EB23+EC23+EF23+EG23+EH23+EI23+EJ23+EK23+EL23+EM23</f>
        <v>4.004315712467532</v>
      </c>
      <c r="EO23" s="15">
        <f aca="true" t="shared" si="183" ref="EO23:EO29">IF(EK23+ED23-EE23-2*EC23-EM23&gt;0,EK23+ED23-EE23-2*EC23-EM23,0)</f>
        <v>0.008631424935064733</v>
      </c>
      <c r="EP23" s="15">
        <f aca="true" t="shared" si="184" ref="EP23:EP29">12-48/EN23</f>
        <v>0.012933183427355388</v>
      </c>
      <c r="EQ23" s="15">
        <f aca="true" t="shared" si="185" ref="EQ23:EQ29">EK23</f>
        <v>0</v>
      </c>
      <c r="ER23" s="15">
        <f aca="true" t="shared" si="186" ref="ER23:ER29">EC23</f>
        <v>0</v>
      </c>
      <c r="ES23" s="15">
        <f aca="true" t="shared" si="187" ref="ES23:ES29">EM23</f>
        <v>0.03557330070246002</v>
      </c>
      <c r="ET23" s="15">
        <f aca="true" t="shared" si="188" ref="ET23:ET29">(EE23-EQ23-ES23)</f>
        <v>0.009632712784604078</v>
      </c>
      <c r="EU23" s="15">
        <f aca="true" t="shared" si="189" ref="EU23:EU29">EJ23</f>
        <v>0.07417053071472725</v>
      </c>
      <c r="EV23" s="15">
        <f aca="true" t="shared" si="190" ref="EV23:EV29">((EG23+EI23+EH23)-ER23-ET23-EU23)/2</f>
        <v>0.8827813120319747</v>
      </c>
      <c r="EW23" s="15">
        <f aca="true" t="shared" si="191" ref="EW23:EW29">EV23*(EI23/(EI23+EG23+EH23))</f>
        <v>0.8054059723647596</v>
      </c>
      <c r="EX23" s="15">
        <f aca="true" t="shared" si="192" ref="EX23:EX29">EU23*(EI23/(EI23+EG23+EH23))</f>
        <v>0.06766952086197023</v>
      </c>
      <c r="EY23" s="59">
        <f t="shared" si="122"/>
        <v>0.7086992178758251</v>
      </c>
      <c r="EZ23" s="15">
        <f t="shared" si="123"/>
        <v>0.07417053071472725</v>
      </c>
      <c r="FA23" s="15">
        <f aca="true" t="shared" si="193" ref="FA23:FA29">(EG23-EO23)/((EG23-EO23)+EI23)</f>
        <v>0.08337137783000503</v>
      </c>
      <c r="FB23" s="15">
        <f aca="true" t="shared" si="194" ref="FB23:FB29">(EI23/(EJ23+EI23-EO23+EG23+EH23+EK23))*(EI23/(EO23+EG23-EO23+EF23+EC23+EM23+EI23))</f>
        <v>0.7361494557929565</v>
      </c>
      <c r="FC23" s="22">
        <f t="shared" si="126"/>
        <v>0.916628622169995</v>
      </c>
      <c r="FD23" s="22">
        <f t="shared" si="127"/>
        <v>0.8346721795590222</v>
      </c>
      <c r="FE23" s="22">
        <f t="shared" si="128"/>
        <v>0.07591708131638893</v>
      </c>
      <c r="FF23" s="22">
        <f t="shared" si="129"/>
        <v>0.8486417907953373</v>
      </c>
      <c r="FG23" s="22">
        <f t="shared" si="130"/>
        <v>0.07718767848993552</v>
      </c>
      <c r="FH23" s="58">
        <f t="shared" si="131"/>
        <v>0.7083376931880158</v>
      </c>
      <c r="FI23" s="15">
        <f aca="true" t="shared" si="195" ref="FI23:FI29">SUM(EQ23:EV23)</f>
        <v>1.002157856233766</v>
      </c>
      <c r="FK23" s="1">
        <f t="shared" si="28"/>
        <v>1325</v>
      </c>
      <c r="FL23" s="1">
        <f t="shared" si="133"/>
        <v>10</v>
      </c>
      <c r="FN23" s="1">
        <f t="shared" si="29"/>
        <v>0.42018266118736636</v>
      </c>
      <c r="FO23" s="1">
        <f aca="true" t="shared" si="196" ref="FO23:FO29">1616.67+287.935*LN(FN23)+2.933*FL23</f>
        <v>1396.3414219317858</v>
      </c>
      <c r="FQ23" s="1">
        <f t="shared" si="30"/>
        <v>1245.286642701779</v>
      </c>
      <c r="FR23" s="1">
        <f t="shared" si="31"/>
        <v>1128.373256933639</v>
      </c>
      <c r="FS23" s="1">
        <f t="shared" si="32"/>
        <v>1541.6327288258806</v>
      </c>
      <c r="FT23" s="1">
        <f t="shared" si="33"/>
        <v>1398.5523597980398</v>
      </c>
      <c r="FU23" s="1">
        <f t="shared" si="135"/>
        <v>0.40283948274846965</v>
      </c>
      <c r="FV23" s="1">
        <f aca="true" t="shared" si="197" ref="FV23:FV29">-273.15+(4900/(1.807-LN(FU23)))</f>
        <v>1530.8295110646877</v>
      </c>
      <c r="FW23" s="1">
        <f t="shared" si="34"/>
        <v>1347.288118353324</v>
      </c>
      <c r="FY23" s="1">
        <f t="shared" si="137"/>
        <v>1393.8328164864338</v>
      </c>
      <c r="FZ23" s="1">
        <f aca="true" t="shared" si="198" ref="FZ23:FZ29">-273.15+(3666/(0.8808-LN(EE23/(0.5*EI23))))</f>
        <v>689.7396793116296</v>
      </c>
      <c r="GB23" s="1">
        <f t="shared" si="35"/>
        <v>45.11711962869134</v>
      </c>
      <c r="GC23" s="1">
        <f t="shared" si="36"/>
        <v>34.58529002306656</v>
      </c>
      <c r="GE23" s="1">
        <f aca="true" t="shared" si="199" ref="GE23:GE29">26.23-0.02229*FL23</f>
        <v>26.0071</v>
      </c>
      <c r="GF23" s="1">
        <f aca="true" t="shared" si="200" ref="GF23:GF29">32.44-0.08646*FL23</f>
        <v>31.5754</v>
      </c>
      <c r="GG23" s="1">
        <f aca="true" t="shared" si="201" ref="GG23:GG29">28.6-1.749*FL23</f>
        <v>11.11</v>
      </c>
      <c r="GH23" s="1">
        <f t="shared" si="37"/>
        <v>860.2824174823164</v>
      </c>
      <c r="GI23" s="1">
        <f t="shared" si="38"/>
        <v>1282.1204710840516</v>
      </c>
      <c r="GK23" s="1">
        <f t="shared" si="142"/>
        <v>1231.8939894827868</v>
      </c>
      <c r="GL23" s="1" t="e">
        <f>-273.15+((35000+61.5*FL23)/((LN(EK23/CA23))^2+19.8))</f>
        <v>#DIV/0!</v>
      </c>
      <c r="GN23" s="1">
        <f t="shared" si="143"/>
        <v>1369.998202757195</v>
      </c>
      <c r="GP23" s="1">
        <f t="shared" si="39"/>
        <v>9.698615518121455</v>
      </c>
      <c r="GQ23" s="1">
        <f t="shared" si="144"/>
        <v>-0.3013844818785447</v>
      </c>
      <c r="GR23" s="2">
        <f t="shared" si="40"/>
        <v>10</v>
      </c>
    </row>
    <row r="24" spans="1:200" ht="14.25">
      <c r="A24" s="1" t="s">
        <v>27</v>
      </c>
      <c r="B24" s="1" t="s">
        <v>29</v>
      </c>
      <c r="C24" s="23">
        <v>1</v>
      </c>
      <c r="D24" s="2">
        <v>1321</v>
      </c>
      <c r="F24" s="1">
        <v>1113</v>
      </c>
      <c r="G24" s="23">
        <v>51.8</v>
      </c>
      <c r="H24" s="23">
        <v>0.17</v>
      </c>
      <c r="I24" s="23">
        <v>5.1</v>
      </c>
      <c r="J24" s="23">
        <v>4.6</v>
      </c>
      <c r="K24" s="23">
        <v>0.19</v>
      </c>
      <c r="L24" s="23">
        <v>21.5</v>
      </c>
      <c r="M24" s="23">
        <v>14.9</v>
      </c>
      <c r="N24" s="23">
        <v>0.21</v>
      </c>
      <c r="O24" s="23">
        <v>0</v>
      </c>
      <c r="P24" s="23">
        <v>1.58</v>
      </c>
      <c r="R24" s="23">
        <v>54.1</v>
      </c>
      <c r="S24" s="23">
        <v>0.09</v>
      </c>
      <c r="T24" s="23">
        <v>4.2</v>
      </c>
      <c r="U24" s="23">
        <v>5.9</v>
      </c>
      <c r="V24" s="23">
        <v>0.21</v>
      </c>
      <c r="W24" s="23">
        <v>31.3</v>
      </c>
      <c r="X24" s="23">
        <v>2.9</v>
      </c>
      <c r="Y24" s="23">
        <v>0.04</v>
      </c>
      <c r="Z24" s="23">
        <v>0</v>
      </c>
      <c r="AA24" s="23">
        <v>1.32</v>
      </c>
      <c r="AC24" s="50">
        <f t="shared" si="41"/>
        <v>1349.5306989527849</v>
      </c>
      <c r="AD24" s="50">
        <f t="shared" si="0"/>
        <v>8.625977316915376</v>
      </c>
      <c r="AE24" s="69">
        <f t="shared" si="42"/>
        <v>0.8928382917349923</v>
      </c>
      <c r="AF24" s="27">
        <f t="shared" si="1"/>
        <v>1319.893476807751</v>
      </c>
      <c r="AG24" s="27"/>
      <c r="AH24" s="27">
        <f t="shared" si="2"/>
        <v>1349.5306989527849</v>
      </c>
      <c r="AI24" s="27">
        <f t="shared" si="3"/>
        <v>1313.5962395167228</v>
      </c>
      <c r="AJ24" s="27">
        <f t="shared" si="4"/>
        <v>10.843843049195684</v>
      </c>
      <c r="AK24" s="27">
        <f t="shared" si="5"/>
        <v>8.625977316915376</v>
      </c>
      <c r="AL24" s="27">
        <f t="shared" si="43"/>
        <v>1412.0553503787928</v>
      </c>
      <c r="AM24" s="27">
        <f t="shared" si="44"/>
        <v>1398.1772571408474</v>
      </c>
      <c r="AN24" s="29">
        <f t="shared" si="6"/>
        <v>1254.4612995251096</v>
      </c>
      <c r="AO24" s="42">
        <f t="shared" si="7"/>
        <v>1.13504138746551</v>
      </c>
      <c r="AP24" s="44"/>
      <c r="AQ24" s="1">
        <f t="shared" si="8"/>
        <v>0.2538830839712019</v>
      </c>
      <c r="AS24" s="1">
        <f t="shared" si="45"/>
        <v>0.8621220518504834</v>
      </c>
      <c r="AT24" s="1">
        <f t="shared" si="46"/>
        <v>0.0021282242597535266</v>
      </c>
      <c r="AU24" s="1">
        <f t="shared" si="47"/>
        <v>0.05001912495954335</v>
      </c>
      <c r="AV24" s="1">
        <f t="shared" si="48"/>
        <v>0.064025476572243</v>
      </c>
      <c r="AW24" s="1">
        <f t="shared" si="49"/>
        <v>0.0026784140969162997</v>
      </c>
      <c r="AX24" s="1">
        <f t="shared" si="50"/>
        <v>0.5334405176606029</v>
      </c>
      <c r="AY24" s="1">
        <f t="shared" si="51"/>
        <v>0.2657041874266639</v>
      </c>
      <c r="AZ24" s="1">
        <f t="shared" si="52"/>
        <v>0.003388249872133903</v>
      </c>
      <c r="BA24" s="1">
        <f t="shared" si="53"/>
        <v>0</v>
      </c>
      <c r="BB24" s="1">
        <f t="shared" si="54"/>
        <v>0.01039485993913086</v>
      </c>
      <c r="BC24" s="1">
        <f t="shared" si="146"/>
        <v>1.7939011066374708</v>
      </c>
      <c r="BE24" s="15">
        <f t="shared" si="147"/>
        <v>1.7242441037009668</v>
      </c>
      <c r="BF24" s="15">
        <f t="shared" si="147"/>
        <v>0.004256448519507053</v>
      </c>
      <c r="BG24" s="15">
        <f t="shared" si="148"/>
        <v>0.15005737487863005</v>
      </c>
      <c r="BH24" s="15">
        <f t="shared" si="149"/>
        <v>0.064025476572243</v>
      </c>
      <c r="BI24" s="15">
        <f t="shared" si="149"/>
        <v>0.0026784140969162997</v>
      </c>
      <c r="BJ24" s="15">
        <f t="shared" si="149"/>
        <v>0.5334405176606029</v>
      </c>
      <c r="BK24" s="15">
        <f t="shared" si="150"/>
        <v>0.2657041874266639</v>
      </c>
      <c r="BL24" s="15">
        <f t="shared" si="150"/>
        <v>0.003388249872133903</v>
      </c>
      <c r="BM24" s="15">
        <f t="shared" si="150"/>
        <v>0</v>
      </c>
      <c r="BN24" s="15">
        <f t="shared" si="151"/>
        <v>0.031184579817392578</v>
      </c>
      <c r="BO24" s="15">
        <f t="shared" si="152"/>
        <v>2.7789793525450563</v>
      </c>
      <c r="BP24" s="15">
        <f t="shared" si="153"/>
        <v>2.1590660594527464</v>
      </c>
      <c r="BR24" s="22">
        <f t="shared" si="62"/>
        <v>1.8613784612561395</v>
      </c>
      <c r="BS24" s="22">
        <f t="shared" si="63"/>
        <v>0.004594976766137785</v>
      </c>
      <c r="BT24" s="22">
        <f t="shared" si="154"/>
        <v>0.13862153874386052</v>
      </c>
      <c r="BU24" s="22">
        <f t="shared" si="155"/>
        <v>0.07736765130349105</v>
      </c>
      <c r="BV24" s="22">
        <f t="shared" si="66"/>
        <v>0.21598919004735156</v>
      </c>
      <c r="BW24" s="22">
        <f t="shared" si="67"/>
        <v>0.13823523340741684</v>
      </c>
      <c r="BX24" s="22">
        <f t="shared" si="68"/>
        <v>0.005782872969811762</v>
      </c>
      <c r="BY24" s="22">
        <f t="shared" si="69"/>
        <v>1.151733316417911</v>
      </c>
      <c r="BZ24" s="22">
        <f t="shared" si="70"/>
        <v>0.5736728929273812</v>
      </c>
      <c r="CA24" s="22">
        <f t="shared" si="71"/>
        <v>0.014630910599738837</v>
      </c>
      <c r="CB24" s="22">
        <f t="shared" si="72"/>
        <v>0</v>
      </c>
      <c r="CC24" s="22">
        <f t="shared" si="73"/>
        <v>0.04488637857468496</v>
      </c>
      <c r="CD24" s="15">
        <f t="shared" si="156"/>
        <v>4.010904232966573</v>
      </c>
      <c r="CE24" s="15">
        <f t="shared" si="157"/>
        <v>0.02180846593314778</v>
      </c>
      <c r="CF24" s="15">
        <f t="shared" si="158"/>
        <v>0.03262376461731087</v>
      </c>
      <c r="CG24" s="15">
        <f t="shared" si="159"/>
        <v>0.014630910599738837</v>
      </c>
      <c r="CH24" s="15">
        <f t="shared" si="160"/>
        <v>0.06273674070375221</v>
      </c>
      <c r="CI24" s="15">
        <f t="shared" si="161"/>
        <v>0.037942399020054154</v>
      </c>
      <c r="CJ24" s="15">
        <f t="shared" si="162"/>
        <v>0.02244318928734248</v>
      </c>
      <c r="CK24" s="15">
        <f t="shared" si="163"/>
        <v>0.4505505639162324</v>
      </c>
      <c r="CL24" s="15">
        <f t="shared" si="164"/>
        <v>0.4197089929545478</v>
      </c>
      <c r="CM24" s="15">
        <f t="shared" si="165"/>
        <v>0.37305984919793383</v>
      </c>
      <c r="CN24" s="15">
        <f t="shared" si="166"/>
        <v>0.4004734905664414</v>
      </c>
      <c r="CO24" s="15">
        <f t="shared" si="167"/>
        <v>1.0080127964816679</v>
      </c>
      <c r="CP24" s="15">
        <f t="shared" si="168"/>
        <v>0.4505505639162324</v>
      </c>
      <c r="CQ24" s="15"/>
      <c r="CR24" s="1">
        <f t="shared" si="169"/>
        <v>0.9081923733816496</v>
      </c>
      <c r="CS24" s="15">
        <f t="shared" si="170"/>
        <v>0.11642676747426906</v>
      </c>
      <c r="CT24" s="59">
        <f t="shared" si="89"/>
        <v>0.35484801522435744</v>
      </c>
      <c r="CU24" s="22">
        <f t="shared" si="90"/>
        <v>0.46709692121818835</v>
      </c>
      <c r="CV24" s="22">
        <f t="shared" si="171"/>
        <v>0.4579453166550971</v>
      </c>
      <c r="CW24" s="22">
        <f t="shared" si="11"/>
        <v>0.7731827905406075</v>
      </c>
      <c r="CX24" s="22">
        <f t="shared" si="12"/>
        <v>0.07815973688193116</v>
      </c>
      <c r="CY24" s="22">
        <f t="shared" si="13"/>
        <v>0.3686473846594848</v>
      </c>
      <c r="CZ24" s="22">
        <f t="shared" si="14"/>
        <v>0.03726593884358336</v>
      </c>
      <c r="DA24" s="22">
        <f t="shared" si="15"/>
        <v>0.2850318135965172</v>
      </c>
      <c r="DB24" s="22">
        <f t="shared" si="16"/>
        <v>0.35498371167326026</v>
      </c>
      <c r="DC24" s="1">
        <f t="shared" si="17"/>
        <v>0.9004016024152732</v>
      </c>
      <c r="DD24" s="1">
        <f t="shared" si="18"/>
        <v>0.0011267069610459847</v>
      </c>
      <c r="DE24" s="1">
        <f t="shared" si="19"/>
        <v>0.04119222055491806</v>
      </c>
      <c r="DF24" s="1">
        <f t="shared" si="20"/>
        <v>0.08211963299483342</v>
      </c>
      <c r="DG24" s="1">
        <f t="shared" si="21"/>
        <v>0.002960352422907489</v>
      </c>
      <c r="DH24" s="1">
        <f t="shared" si="22"/>
        <v>0.7765901489663659</v>
      </c>
      <c r="DI24" s="1">
        <f t="shared" si="23"/>
        <v>0.05171423782129699</v>
      </c>
      <c r="DJ24" s="1">
        <f t="shared" si="24"/>
        <v>0.0006453809280255055</v>
      </c>
      <c r="DK24" s="1">
        <f t="shared" si="25"/>
        <v>0</v>
      </c>
      <c r="DL24" s="1">
        <f t="shared" si="26"/>
        <v>0.008684313366868819</v>
      </c>
      <c r="DM24" s="1">
        <f t="shared" si="172"/>
        <v>1.8654345964315355</v>
      </c>
      <c r="DO24" s="15">
        <f t="shared" si="173"/>
        <v>1.8008032048305465</v>
      </c>
      <c r="DP24" s="15">
        <f t="shared" si="173"/>
        <v>0.0022534139220919693</v>
      </c>
      <c r="DQ24" s="15">
        <f t="shared" si="174"/>
        <v>0.12357666166475417</v>
      </c>
      <c r="DR24" s="15">
        <f t="shared" si="175"/>
        <v>0.08211963299483342</v>
      </c>
      <c r="DS24" s="15">
        <f t="shared" si="175"/>
        <v>0.002960352422907489</v>
      </c>
      <c r="DT24" s="15">
        <f t="shared" si="175"/>
        <v>0.7765901489663659</v>
      </c>
      <c r="DU24" s="15">
        <f t="shared" si="176"/>
        <v>0.05171423782129699</v>
      </c>
      <c r="DV24" s="15">
        <f t="shared" si="176"/>
        <v>0.0006453809280255055</v>
      </c>
      <c r="DW24" s="15">
        <f t="shared" si="176"/>
        <v>0</v>
      </c>
      <c r="DX24" s="15">
        <f t="shared" si="177"/>
        <v>0.026052940100606457</v>
      </c>
      <c r="DY24" s="15">
        <f t="shared" si="178"/>
        <v>2.866715973651429</v>
      </c>
      <c r="DZ24" s="15">
        <f t="shared" si="179"/>
        <v>2.0929872562009013</v>
      </c>
      <c r="EB24" s="22">
        <f t="shared" si="99"/>
        <v>1.8845290793180376</v>
      </c>
      <c r="EC24" s="22">
        <f t="shared" si="100"/>
        <v>0.0023581833109420913</v>
      </c>
      <c r="ED24" s="22">
        <f t="shared" si="180"/>
        <v>0.11547092068196241</v>
      </c>
      <c r="EE24" s="22">
        <f t="shared" si="181"/>
        <v>0.05695866467015823</v>
      </c>
      <c r="EF24" s="22">
        <f t="shared" si="103"/>
        <v>0.17242958535212063</v>
      </c>
      <c r="EG24" s="22">
        <f t="shared" si="104"/>
        <v>0.1718753453420814</v>
      </c>
      <c r="EH24" s="22">
        <f t="shared" si="105"/>
        <v>0.006195979895008835</v>
      </c>
      <c r="EI24" s="22">
        <f t="shared" si="106"/>
        <v>1.6253932850777635</v>
      </c>
      <c r="EJ24" s="22">
        <f t="shared" si="107"/>
        <v>0.10823724072411726</v>
      </c>
      <c r="EK24" s="22">
        <f t="shared" si="108"/>
        <v>0.002701548115504988</v>
      </c>
      <c r="EL24" s="22">
        <f t="shared" si="109"/>
        <v>0</v>
      </c>
      <c r="EM24" s="22">
        <f t="shared" si="110"/>
        <v>0.03635231441142316</v>
      </c>
      <c r="EN24" s="15">
        <f t="shared" si="182"/>
        <v>4.010072561547</v>
      </c>
      <c r="EO24" s="15">
        <f t="shared" si="183"/>
        <v>0.020145123094001828</v>
      </c>
      <c r="EP24" s="15">
        <f t="shared" si="184"/>
        <v>0.030141783398894617</v>
      </c>
      <c r="EQ24" s="15">
        <f t="shared" si="185"/>
        <v>0.002701548115504988</v>
      </c>
      <c r="ER24" s="15">
        <f t="shared" si="186"/>
        <v>0.0023581833109420913</v>
      </c>
      <c r="ES24" s="15">
        <f t="shared" si="187"/>
        <v>0.03635231441142316</v>
      </c>
      <c r="ET24" s="15">
        <f t="shared" si="188"/>
        <v>0.017904802143230078</v>
      </c>
      <c r="EU24" s="15">
        <f t="shared" si="189"/>
        <v>0.10823724072411726</v>
      </c>
      <c r="EV24" s="15">
        <f t="shared" si="190"/>
        <v>0.8374821920682822</v>
      </c>
      <c r="EW24" s="15">
        <f t="shared" si="191"/>
        <v>0.754790486918589</v>
      </c>
      <c r="EX24" s="15">
        <f t="shared" si="192"/>
        <v>0.0975500618432494</v>
      </c>
      <c r="EY24" s="59">
        <f t="shared" si="122"/>
        <v>0.6538733533098019</v>
      </c>
      <c r="EZ24" s="15">
        <f t="shared" si="123"/>
        <v>0.10823724072411726</v>
      </c>
      <c r="FA24" s="15">
        <f t="shared" si="193"/>
        <v>0.08537967205014255</v>
      </c>
      <c r="FB24" s="15">
        <f t="shared" si="194"/>
        <v>0.6944254552605831</v>
      </c>
      <c r="FC24" s="22">
        <f t="shared" si="126"/>
        <v>0.9146203279498574</v>
      </c>
      <c r="FD24" s="22">
        <f t="shared" si="127"/>
        <v>0.8086942281768932</v>
      </c>
      <c r="FE24" s="22">
        <f t="shared" si="128"/>
        <v>0.07549148633658151</v>
      </c>
      <c r="FF24" s="22">
        <f t="shared" si="129"/>
        <v>0.8074864873554585</v>
      </c>
      <c r="FG24" s="22">
        <f t="shared" si="130"/>
        <v>0.07537874390991053</v>
      </c>
      <c r="FH24" s="58">
        <f t="shared" si="131"/>
        <v>0.6530096616551931</v>
      </c>
      <c r="FI24" s="15">
        <f t="shared" si="195"/>
        <v>1.0050362807734998</v>
      </c>
      <c r="FK24" s="1">
        <f t="shared" si="28"/>
        <v>1321</v>
      </c>
      <c r="FL24" s="1">
        <f t="shared" si="133"/>
        <v>10</v>
      </c>
      <c r="FN24" s="1">
        <f t="shared" si="29"/>
        <v>0.46667762385729433</v>
      </c>
      <c r="FO24" s="1">
        <f t="shared" si="196"/>
        <v>1426.5599646602593</v>
      </c>
      <c r="FQ24" s="1">
        <f t="shared" si="30"/>
        <v>1311.6042671459782</v>
      </c>
      <c r="FR24" s="1">
        <f t="shared" si="31"/>
        <v>1176.1302723533656</v>
      </c>
      <c r="FS24" s="1">
        <f t="shared" si="32"/>
        <v>1637.918283546427</v>
      </c>
      <c r="FT24" s="1">
        <f t="shared" si="33"/>
        <v>1483.1270238880563</v>
      </c>
      <c r="FU24" s="1">
        <f t="shared" si="135"/>
        <v>0.4364894278501835</v>
      </c>
      <c r="FV24" s="1">
        <f t="shared" si="197"/>
        <v>1585.7333455789603</v>
      </c>
      <c r="FW24" s="1">
        <f t="shared" si="34"/>
        <v>1518.4627821227023</v>
      </c>
      <c r="FY24" s="1">
        <f t="shared" si="137"/>
        <v>1412.0553503787928</v>
      </c>
      <c r="FZ24" s="1">
        <f t="shared" si="198"/>
        <v>762.7849960803284</v>
      </c>
      <c r="GB24" s="1">
        <f t="shared" si="35"/>
        <v>26.3144382949422</v>
      </c>
      <c r="GC24" s="1">
        <f t="shared" si="36"/>
        <v>21.56542715807739</v>
      </c>
      <c r="GE24" s="1">
        <f t="shared" si="199"/>
        <v>26.0071</v>
      </c>
      <c r="GF24" s="1">
        <f t="shared" si="200"/>
        <v>31.5754</v>
      </c>
      <c r="GG24" s="1">
        <f t="shared" si="201"/>
        <v>11.11</v>
      </c>
      <c r="GH24" s="1">
        <f t="shared" si="37"/>
        <v>880.1912469132513</v>
      </c>
      <c r="GI24" s="1">
        <f t="shared" si="38"/>
        <v>1418.6551929175193</v>
      </c>
      <c r="GK24" s="1">
        <f t="shared" si="142"/>
        <v>1371.7818811114225</v>
      </c>
      <c r="GL24" s="1">
        <f t="shared" si="145"/>
        <v>1298.9942788893613</v>
      </c>
      <c r="GN24" s="1">
        <f t="shared" si="143"/>
        <v>1398.1772571408474</v>
      </c>
      <c r="GP24" s="1">
        <f t="shared" si="39"/>
        <v>10.843843049195684</v>
      </c>
      <c r="GQ24" s="1">
        <f t="shared" si="144"/>
        <v>0.8438430491956836</v>
      </c>
      <c r="GR24" s="2">
        <f t="shared" si="40"/>
        <v>10</v>
      </c>
    </row>
    <row r="25" spans="1:200" ht="13.5">
      <c r="A25" s="1" t="s">
        <v>27</v>
      </c>
      <c r="B25" s="1" t="s">
        <v>30</v>
      </c>
      <c r="C25" s="23">
        <v>1</v>
      </c>
      <c r="D25" s="2">
        <v>1310</v>
      </c>
      <c r="F25" s="1">
        <v>1112</v>
      </c>
      <c r="G25" s="23">
        <v>51.67</v>
      </c>
      <c r="H25" s="23">
        <v>0.16</v>
      </c>
      <c r="I25" s="23">
        <v>5.62</v>
      </c>
      <c r="J25" s="23">
        <v>4.45</v>
      </c>
      <c r="K25" s="23">
        <v>0.16</v>
      </c>
      <c r="L25" s="23">
        <v>21.82</v>
      </c>
      <c r="M25" s="23">
        <v>14.34</v>
      </c>
      <c r="N25" s="23">
        <v>0.22</v>
      </c>
      <c r="O25" s="23">
        <v>0</v>
      </c>
      <c r="P25" s="23">
        <v>1.56</v>
      </c>
      <c r="R25" s="23">
        <v>54.2</v>
      </c>
      <c r="S25" s="23">
        <v>0.06</v>
      </c>
      <c r="T25" s="23">
        <v>4.3</v>
      </c>
      <c r="U25" s="23">
        <v>5.66</v>
      </c>
      <c r="V25" s="23">
        <v>0.19</v>
      </c>
      <c r="W25" s="23">
        <v>31.6</v>
      </c>
      <c r="X25" s="23">
        <v>2.68</v>
      </c>
      <c r="Y25" s="23">
        <v>0.04</v>
      </c>
      <c r="Z25" s="23">
        <v>0</v>
      </c>
      <c r="AA25" s="23">
        <v>1.3</v>
      </c>
      <c r="AC25" s="50">
        <f t="shared" si="41"/>
        <v>1355.9379676502783</v>
      </c>
      <c r="AD25" s="50">
        <f t="shared" si="0"/>
        <v>9.720729521843278</v>
      </c>
      <c r="AE25" s="69">
        <f t="shared" si="42"/>
        <v>0.8973382011058287</v>
      </c>
      <c r="AF25" s="27">
        <f t="shared" si="1"/>
        <v>1334.5087387943204</v>
      </c>
      <c r="AG25" s="27"/>
      <c r="AH25" s="27">
        <f t="shared" si="2"/>
        <v>1355.9379676502783</v>
      </c>
      <c r="AI25" s="27">
        <f t="shared" si="3"/>
        <v>1328.7652835175845</v>
      </c>
      <c r="AJ25" s="27">
        <f t="shared" si="4"/>
        <v>11.335397864837734</v>
      </c>
      <c r="AK25" s="27">
        <f t="shared" si="5"/>
        <v>9.720729521843278</v>
      </c>
      <c r="AL25" s="27">
        <f t="shared" si="43"/>
        <v>1427.9206847862583</v>
      </c>
      <c r="AM25" s="27">
        <f t="shared" si="44"/>
        <v>1414.0356349372487</v>
      </c>
      <c r="AN25" s="29">
        <f t="shared" si="6"/>
        <v>1274.3128745777212</v>
      </c>
      <c r="AO25" s="42">
        <f t="shared" si="7"/>
        <v>1.1386124183408746</v>
      </c>
      <c r="AP25" s="44"/>
      <c r="AQ25" s="1">
        <f t="shared" si="8"/>
        <v>0.22235406161690977</v>
      </c>
      <c r="AS25" s="1">
        <f t="shared" si="45"/>
        <v>0.8599584250794301</v>
      </c>
      <c r="AT25" s="1">
        <f t="shared" si="46"/>
        <v>0.002003034597415084</v>
      </c>
      <c r="AU25" s="1">
        <f t="shared" si="47"/>
        <v>0.05511911417110464</v>
      </c>
      <c r="AV25" s="1">
        <f t="shared" si="48"/>
        <v>0.061937689292713344</v>
      </c>
      <c r="AW25" s="1">
        <f t="shared" si="49"/>
        <v>0.0022555066079295153</v>
      </c>
      <c r="AX25" s="1">
        <f t="shared" si="50"/>
        <v>0.541380097458342</v>
      </c>
      <c r="AY25" s="1">
        <f t="shared" si="51"/>
        <v>0.2557179897784134</v>
      </c>
      <c r="AZ25" s="1">
        <f t="shared" si="52"/>
        <v>0.0035495951041402797</v>
      </c>
      <c r="BA25" s="1">
        <f t="shared" si="53"/>
        <v>0</v>
      </c>
      <c r="BB25" s="1">
        <f t="shared" si="54"/>
        <v>0.01026327943357224</v>
      </c>
      <c r="BC25" s="1">
        <f t="shared" si="146"/>
        <v>1.7921847315230606</v>
      </c>
      <c r="BE25" s="15">
        <f t="shared" si="147"/>
        <v>1.7199168501588602</v>
      </c>
      <c r="BF25" s="15">
        <f t="shared" si="147"/>
        <v>0.004006069194830168</v>
      </c>
      <c r="BG25" s="15">
        <f t="shared" si="148"/>
        <v>0.1653573425133139</v>
      </c>
      <c r="BH25" s="15">
        <f t="shared" si="149"/>
        <v>0.061937689292713344</v>
      </c>
      <c r="BI25" s="15">
        <f t="shared" si="149"/>
        <v>0.0022555066079295153</v>
      </c>
      <c r="BJ25" s="15">
        <f t="shared" si="149"/>
        <v>0.541380097458342</v>
      </c>
      <c r="BK25" s="15">
        <f t="shared" si="150"/>
        <v>0.2557179897784134</v>
      </c>
      <c r="BL25" s="15">
        <f t="shared" si="150"/>
        <v>0.0035495951041402797</v>
      </c>
      <c r="BM25" s="15">
        <f t="shared" si="150"/>
        <v>0</v>
      </c>
      <c r="BN25" s="15">
        <f t="shared" si="151"/>
        <v>0.030789838300716722</v>
      </c>
      <c r="BO25" s="15">
        <f t="shared" si="152"/>
        <v>2.7849109784092594</v>
      </c>
      <c r="BP25" s="15">
        <f t="shared" si="153"/>
        <v>2.1544674305629687</v>
      </c>
      <c r="BR25" s="22">
        <f t="shared" si="62"/>
        <v>1.8527524184718571</v>
      </c>
      <c r="BS25" s="22">
        <f t="shared" si="63"/>
        <v>0.0043154728024216065</v>
      </c>
      <c r="BT25" s="22">
        <f t="shared" si="154"/>
        <v>0.14724758152814288</v>
      </c>
      <c r="BU25" s="22">
        <f t="shared" si="155"/>
        <v>0.09025709103811058</v>
      </c>
      <c r="BV25" s="22">
        <f t="shared" si="66"/>
        <v>0.23750467256625346</v>
      </c>
      <c r="BW25" s="22">
        <f t="shared" si="67"/>
        <v>0.13344273430547962</v>
      </c>
      <c r="BX25" s="22">
        <f t="shared" si="68"/>
        <v>0.0048594155262037</v>
      </c>
      <c r="BY25" s="22">
        <f t="shared" si="69"/>
        <v>1.1663857875290038</v>
      </c>
      <c r="BZ25" s="22">
        <f t="shared" si="70"/>
        <v>0.5509360803866259</v>
      </c>
      <c r="CA25" s="22">
        <f t="shared" si="71"/>
        <v>0.015294974087112004</v>
      </c>
      <c r="CB25" s="22">
        <f t="shared" si="72"/>
        <v>0</v>
      </c>
      <c r="CC25" s="22">
        <f t="shared" si="73"/>
        <v>0.044223802540796296</v>
      </c>
      <c r="CD25" s="15">
        <f t="shared" si="156"/>
        <v>4.009715358215754</v>
      </c>
      <c r="CE25" s="15">
        <f t="shared" si="157"/>
        <v>0.019430716431504784</v>
      </c>
      <c r="CF25" s="15">
        <f t="shared" si="158"/>
        <v>0.02907545503203046</v>
      </c>
      <c r="CG25" s="15">
        <f t="shared" si="159"/>
        <v>0.015294974087112004</v>
      </c>
      <c r="CH25" s="15">
        <f t="shared" si="160"/>
        <v>0.07496211695099858</v>
      </c>
      <c r="CI25" s="15">
        <f t="shared" si="161"/>
        <v>0.03614273228857215</v>
      </c>
      <c r="CJ25" s="15">
        <f t="shared" si="162"/>
        <v>0.022111901270398148</v>
      </c>
      <c r="CK25" s="15">
        <f t="shared" si="163"/>
        <v>0.41771932987665705</v>
      </c>
      <c r="CL25" s="15">
        <f t="shared" si="164"/>
        <v>0.44105459597891317</v>
      </c>
      <c r="CM25" s="15">
        <f t="shared" si="165"/>
        <v>0.3943010413009835</v>
      </c>
      <c r="CN25" s="15">
        <f t="shared" si="166"/>
        <v>0.3734394069204746</v>
      </c>
      <c r="CO25" s="15">
        <f t="shared" si="167"/>
        <v>1.007285650452651</v>
      </c>
      <c r="CP25" s="15">
        <f t="shared" si="168"/>
        <v>0.417719329876657</v>
      </c>
      <c r="CQ25" s="15"/>
      <c r="CR25" s="1">
        <f t="shared" si="169"/>
        <v>0.9109557846843608</v>
      </c>
      <c r="CS25" s="15">
        <f t="shared" si="170"/>
        <v>0.11401201787397483</v>
      </c>
      <c r="CT25" s="59">
        <f t="shared" si="89"/>
        <v>0.36044725275389816</v>
      </c>
      <c r="CU25" s="22">
        <f t="shared" si="90"/>
        <v>0.4548344043982836</v>
      </c>
      <c r="CV25" s="22">
        <f t="shared" si="171"/>
        <v>0.4633351112706108</v>
      </c>
      <c r="CW25" s="22">
        <f t="shared" si="11"/>
        <v>0.766817908302279</v>
      </c>
      <c r="CX25" s="22">
        <f t="shared" si="12"/>
        <v>0.07495500888488782</v>
      </c>
      <c r="CY25" s="22">
        <f t="shared" si="13"/>
        <v>0.39071761745980355</v>
      </c>
      <c r="CZ25" s="22">
        <f t="shared" si="14"/>
        <v>0.038191912540254815</v>
      </c>
      <c r="DA25" s="22">
        <f t="shared" si="15"/>
        <v>0.2996092661573766</v>
      </c>
      <c r="DB25" s="22">
        <f t="shared" si="16"/>
        <v>0.3693491713494997</v>
      </c>
      <c r="DC25" s="1">
        <f t="shared" si="17"/>
        <v>0.902065930700699</v>
      </c>
      <c r="DD25" s="1">
        <f t="shared" si="18"/>
        <v>0.0007511379740306564</v>
      </c>
      <c r="DE25" s="1">
        <f t="shared" si="19"/>
        <v>0.042172987710987535</v>
      </c>
      <c r="DF25" s="1">
        <f t="shared" si="20"/>
        <v>0.07877917334758595</v>
      </c>
      <c r="DG25" s="1">
        <f t="shared" si="21"/>
        <v>0.0026784140969162997</v>
      </c>
      <c r="DH25" s="1">
        <f t="shared" si="22"/>
        <v>0.7840335050267465</v>
      </c>
      <c r="DI25" s="1">
        <f t="shared" si="23"/>
        <v>0.04779108874519861</v>
      </c>
      <c r="DJ25" s="1">
        <f t="shared" si="24"/>
        <v>0.0006453809280255055</v>
      </c>
      <c r="DK25" s="1">
        <f t="shared" si="25"/>
        <v>0</v>
      </c>
      <c r="DL25" s="1">
        <f t="shared" si="26"/>
        <v>0.0085527328613102</v>
      </c>
      <c r="DM25" s="1">
        <f t="shared" si="172"/>
        <v>1.8674703513915005</v>
      </c>
      <c r="DO25" s="15">
        <f t="shared" si="173"/>
        <v>1.804131861401398</v>
      </c>
      <c r="DP25" s="15">
        <f t="shared" si="173"/>
        <v>0.0015022759480613128</v>
      </c>
      <c r="DQ25" s="15">
        <f t="shared" si="174"/>
        <v>0.1265189631329626</v>
      </c>
      <c r="DR25" s="15">
        <f t="shared" si="175"/>
        <v>0.07877917334758595</v>
      </c>
      <c r="DS25" s="15">
        <f t="shared" si="175"/>
        <v>0.0026784140969162997</v>
      </c>
      <c r="DT25" s="15">
        <f t="shared" si="175"/>
        <v>0.7840335050267465</v>
      </c>
      <c r="DU25" s="15">
        <f t="shared" si="176"/>
        <v>0.04779108874519861</v>
      </c>
      <c r="DV25" s="15">
        <f t="shared" si="176"/>
        <v>0.0006453809280255055</v>
      </c>
      <c r="DW25" s="15">
        <f t="shared" si="176"/>
        <v>0</v>
      </c>
      <c r="DX25" s="15">
        <f t="shared" si="177"/>
        <v>0.025658198583930602</v>
      </c>
      <c r="DY25" s="15">
        <f t="shared" si="178"/>
        <v>2.8717388612108254</v>
      </c>
      <c r="DZ25" s="15">
        <f t="shared" si="179"/>
        <v>2.089326463852006</v>
      </c>
      <c r="EB25" s="22">
        <f t="shared" si="99"/>
        <v>1.88471022115226</v>
      </c>
      <c r="EC25" s="22">
        <f t="shared" si="100"/>
        <v>0.0015693724471464313</v>
      </c>
      <c r="ED25" s="22">
        <f t="shared" si="180"/>
        <v>0.11528977884774005</v>
      </c>
      <c r="EE25" s="22">
        <f t="shared" si="181"/>
        <v>0.06093649972080331</v>
      </c>
      <c r="EF25" s="22">
        <f t="shared" si="103"/>
        <v>0.17622627856854337</v>
      </c>
      <c r="EG25" s="22">
        <f t="shared" si="104"/>
        <v>0.16459541167549596</v>
      </c>
      <c r="EH25" s="22">
        <f t="shared" si="105"/>
        <v>0.005596081453841497</v>
      </c>
      <c r="EI25" s="22">
        <f t="shared" si="106"/>
        <v>1.6381019505990262</v>
      </c>
      <c r="EJ25" s="22">
        <f t="shared" si="107"/>
        <v>0.0998511864516432</v>
      </c>
      <c r="EK25" s="22">
        <f t="shared" si="108"/>
        <v>0.002696822904378111</v>
      </c>
      <c r="EL25" s="22">
        <f t="shared" si="109"/>
        <v>0</v>
      </c>
      <c r="EM25" s="22">
        <f t="shared" si="110"/>
        <v>0.03573890221078418</v>
      </c>
      <c r="EN25" s="15">
        <f t="shared" si="182"/>
        <v>4.009086227463119</v>
      </c>
      <c r="EO25" s="15">
        <f t="shared" si="183"/>
        <v>0.01817245492623782</v>
      </c>
      <c r="EP25" s="15">
        <f t="shared" si="184"/>
        <v>0.027196903077443935</v>
      </c>
      <c r="EQ25" s="15">
        <f t="shared" si="185"/>
        <v>0.002696822904378111</v>
      </c>
      <c r="ER25" s="15">
        <f t="shared" si="186"/>
        <v>0.0015693724471464313</v>
      </c>
      <c r="ES25" s="15">
        <f t="shared" si="187"/>
        <v>0.03573890221078418</v>
      </c>
      <c r="ET25" s="15">
        <f t="shared" si="188"/>
        <v>0.022500774605641025</v>
      </c>
      <c r="EU25" s="15">
        <f t="shared" si="189"/>
        <v>0.0998511864516432</v>
      </c>
      <c r="EV25" s="15">
        <f t="shared" si="190"/>
        <v>0.8421860551119666</v>
      </c>
      <c r="EW25" s="15">
        <f t="shared" si="191"/>
        <v>0.7629218722387011</v>
      </c>
      <c r="EX25" s="15">
        <f t="shared" si="192"/>
        <v>0.0904534736125683</v>
      </c>
      <c r="EY25" s="59">
        <f t="shared" si="122"/>
        <v>0.6648016155718204</v>
      </c>
      <c r="EZ25" s="15">
        <f t="shared" si="123"/>
        <v>0.0998511864516432</v>
      </c>
      <c r="FA25" s="15">
        <f t="shared" si="193"/>
        <v>0.08205150634004622</v>
      </c>
      <c r="FB25" s="15">
        <f t="shared" si="194"/>
        <v>0.7031803100597476</v>
      </c>
      <c r="FC25" s="22">
        <f t="shared" si="126"/>
        <v>0.9179484936599538</v>
      </c>
      <c r="FD25" s="22">
        <f t="shared" si="127"/>
        <v>0.8110834733833896</v>
      </c>
      <c r="FE25" s="22">
        <f t="shared" si="128"/>
        <v>0.07249929731163872</v>
      </c>
      <c r="FF25" s="22">
        <f t="shared" si="129"/>
        <v>0.818677788402815</v>
      </c>
      <c r="FG25" s="22">
        <f t="shared" si="130"/>
        <v>0.07317812078732222</v>
      </c>
      <c r="FH25" s="58">
        <f t="shared" si="131"/>
        <v>0.6640160241995868</v>
      </c>
      <c r="FI25" s="15">
        <f t="shared" si="195"/>
        <v>1.0045431137315597</v>
      </c>
      <c r="FK25" s="1">
        <f t="shared" si="28"/>
        <v>1310</v>
      </c>
      <c r="FL25" s="1">
        <f t="shared" si="133"/>
        <v>10</v>
      </c>
      <c r="FN25" s="1">
        <f t="shared" si="29"/>
        <v>0.4821152509704661</v>
      </c>
      <c r="FO25" s="1">
        <f t="shared" si="196"/>
        <v>1435.9306621038775</v>
      </c>
      <c r="FQ25" s="1">
        <f t="shared" si="30"/>
        <v>1284.0845522245124</v>
      </c>
      <c r="FR25" s="1">
        <f t="shared" si="31"/>
        <v>1167.7242771156434</v>
      </c>
      <c r="FS25" s="1">
        <f t="shared" si="32"/>
        <v>1622.6106053864826</v>
      </c>
      <c r="FT25" s="1">
        <f t="shared" si="33"/>
        <v>1478.0947337244777</v>
      </c>
      <c r="FU25" s="1">
        <f t="shared" si="135"/>
        <v>0.451207885409888</v>
      </c>
      <c r="FV25" s="1">
        <f t="shared" si="197"/>
        <v>1609.4183793750385</v>
      </c>
      <c r="FW25" s="1">
        <f t="shared" si="34"/>
        <v>1494.174087792745</v>
      </c>
      <c r="FY25" s="1">
        <f t="shared" si="137"/>
        <v>1427.9206847862583</v>
      </c>
      <c r="FZ25" s="1">
        <f t="shared" si="198"/>
        <v>780.5665529945762</v>
      </c>
      <c r="GB25" s="1">
        <f t="shared" si="35"/>
        <v>33.1095139514387</v>
      </c>
      <c r="GC25" s="1">
        <f t="shared" si="36"/>
        <v>26.359300666825124</v>
      </c>
      <c r="GE25" s="1">
        <f t="shared" si="199"/>
        <v>26.0071</v>
      </c>
      <c r="GF25" s="1">
        <f t="shared" si="200"/>
        <v>31.5754</v>
      </c>
      <c r="GG25" s="1">
        <f t="shared" si="201"/>
        <v>11.11</v>
      </c>
      <c r="GH25" s="1">
        <f t="shared" si="37"/>
        <v>884.5914503797861</v>
      </c>
      <c r="GI25" s="1">
        <f t="shared" si="38"/>
        <v>1393.7528628954233</v>
      </c>
      <c r="GK25" s="1">
        <f t="shared" si="142"/>
        <v>1339.7943209062942</v>
      </c>
      <c r="GL25" s="1">
        <f t="shared" si="145"/>
        <v>1288.1043189850311</v>
      </c>
      <c r="GN25" s="1">
        <f t="shared" si="143"/>
        <v>1414.0356349372487</v>
      </c>
      <c r="GP25" s="1">
        <f t="shared" si="39"/>
        <v>11.335397864837734</v>
      </c>
      <c r="GQ25" s="1">
        <f t="shared" si="144"/>
        <v>1.3353978648377343</v>
      </c>
      <c r="GR25" s="2">
        <f t="shared" si="40"/>
        <v>10</v>
      </c>
    </row>
    <row r="26" spans="1:200" ht="13.5">
      <c r="A26" s="1" t="s">
        <v>27</v>
      </c>
      <c r="B26" s="1" t="s">
        <v>31</v>
      </c>
      <c r="C26" s="23">
        <v>1</v>
      </c>
      <c r="D26" s="2">
        <v>1314</v>
      </c>
      <c r="F26" s="1">
        <v>1111</v>
      </c>
      <c r="G26" s="23">
        <v>53</v>
      </c>
      <c r="H26" s="23">
        <v>0.11</v>
      </c>
      <c r="I26" s="23">
        <v>4.5</v>
      </c>
      <c r="J26" s="23">
        <v>5.1</v>
      </c>
      <c r="K26" s="23">
        <v>0.2</v>
      </c>
      <c r="L26" s="23">
        <v>24.7</v>
      </c>
      <c r="M26" s="23">
        <v>10.9</v>
      </c>
      <c r="N26" s="23">
        <v>0.16</v>
      </c>
      <c r="O26" s="23">
        <v>0</v>
      </c>
      <c r="P26" s="23">
        <v>1.5</v>
      </c>
      <c r="R26" s="23">
        <v>54.5</v>
      </c>
      <c r="S26" s="23">
        <v>0.09</v>
      </c>
      <c r="T26" s="23">
        <v>3.9</v>
      </c>
      <c r="U26" s="23">
        <v>5.8</v>
      </c>
      <c r="V26" s="23">
        <v>0.19</v>
      </c>
      <c r="W26" s="23">
        <v>31.6</v>
      </c>
      <c r="X26" s="23">
        <v>2.7</v>
      </c>
      <c r="Y26" s="23">
        <v>0.08</v>
      </c>
      <c r="Z26" s="23">
        <v>0</v>
      </c>
      <c r="AA26" s="23">
        <v>1.3</v>
      </c>
      <c r="AC26" s="50">
        <f t="shared" si="41"/>
        <v>1399.698071111635</v>
      </c>
      <c r="AD26" s="50">
        <f t="shared" si="0"/>
        <v>12.126280318110416</v>
      </c>
      <c r="AE26" s="69">
        <f t="shared" si="42"/>
        <v>0.8961939471391412</v>
      </c>
      <c r="AF26" s="27">
        <f t="shared" si="1"/>
        <v>1373.2812606250736</v>
      </c>
      <c r="AG26" s="27"/>
      <c r="AH26" s="27">
        <f t="shared" si="2"/>
        <v>1399.698071111635</v>
      </c>
      <c r="AI26" s="27">
        <f t="shared" si="3"/>
        <v>1359.8290717107548</v>
      </c>
      <c r="AJ26" s="27">
        <f t="shared" si="4"/>
        <v>12.9386781227683</v>
      </c>
      <c r="AK26" s="27">
        <f t="shared" si="5"/>
        <v>12.126280318110416</v>
      </c>
      <c r="AL26" s="27">
        <f t="shared" si="43"/>
        <v>1512.8660941015291</v>
      </c>
      <c r="AM26" s="27">
        <f t="shared" si="44"/>
        <v>1537.3484497979384</v>
      </c>
      <c r="AN26" s="29">
        <f t="shared" si="6"/>
        <v>1346.987162450606</v>
      </c>
      <c r="AO26" s="42">
        <f t="shared" si="7"/>
        <v>1.1249476476336735</v>
      </c>
      <c r="AP26" s="44"/>
      <c r="AQ26" s="1">
        <f t="shared" si="8"/>
        <v>0.17174434266824848</v>
      </c>
      <c r="AS26" s="1">
        <f t="shared" si="45"/>
        <v>0.8820939912755912</v>
      </c>
      <c r="AT26" s="1">
        <f t="shared" si="46"/>
        <v>0.00137708628572287</v>
      </c>
      <c r="AU26" s="1">
        <f t="shared" si="47"/>
        <v>0.04413452202312649</v>
      </c>
      <c r="AV26" s="1">
        <f t="shared" si="48"/>
        <v>0.07098476750400855</v>
      </c>
      <c r="AW26" s="1">
        <f t="shared" si="49"/>
        <v>0.0028193832599118945</v>
      </c>
      <c r="AX26" s="1">
        <f t="shared" si="50"/>
        <v>0.6128363156379948</v>
      </c>
      <c r="AY26" s="1">
        <f t="shared" si="51"/>
        <v>0.19437420422487492</v>
      </c>
      <c r="AZ26" s="1">
        <f t="shared" si="52"/>
        <v>0.002581523712102022</v>
      </c>
      <c r="BA26" s="1">
        <f t="shared" si="53"/>
        <v>0</v>
      </c>
      <c r="BB26" s="1">
        <f t="shared" si="54"/>
        <v>0.009868537916896385</v>
      </c>
      <c r="BC26" s="1">
        <f t="shared" si="146"/>
        <v>1.821070331840229</v>
      </c>
      <c r="BE26" s="15">
        <f t="shared" si="147"/>
        <v>1.7641879825511824</v>
      </c>
      <c r="BF26" s="15">
        <f t="shared" si="147"/>
        <v>0.00275417257144574</v>
      </c>
      <c r="BG26" s="15">
        <f t="shared" si="148"/>
        <v>0.13240356606937947</v>
      </c>
      <c r="BH26" s="15">
        <f t="shared" si="149"/>
        <v>0.07098476750400855</v>
      </c>
      <c r="BI26" s="15">
        <f t="shared" si="149"/>
        <v>0.0028193832599118945</v>
      </c>
      <c r="BJ26" s="15">
        <f t="shared" si="149"/>
        <v>0.6128363156379948</v>
      </c>
      <c r="BK26" s="15">
        <f t="shared" si="150"/>
        <v>0.19437420422487492</v>
      </c>
      <c r="BL26" s="15">
        <f t="shared" si="150"/>
        <v>0.002581523712102022</v>
      </c>
      <c r="BM26" s="15">
        <f t="shared" si="150"/>
        <v>0</v>
      </c>
      <c r="BN26" s="15">
        <f t="shared" si="151"/>
        <v>0.029605613750689156</v>
      </c>
      <c r="BO26" s="15">
        <f t="shared" si="152"/>
        <v>2.8125475292815887</v>
      </c>
      <c r="BP26" s="15">
        <f t="shared" si="153"/>
        <v>2.133297282102317</v>
      </c>
      <c r="BR26" s="22">
        <f t="shared" si="62"/>
        <v>1.8817687141470034</v>
      </c>
      <c r="BS26" s="22">
        <f t="shared" si="63"/>
        <v>0.002937734430552973</v>
      </c>
      <c r="BT26" s="22">
        <f t="shared" si="154"/>
        <v>0.11823128585299658</v>
      </c>
      <c r="BU26" s="22">
        <f t="shared" si="155"/>
        <v>0.07007282590464459</v>
      </c>
      <c r="BV26" s="22">
        <f t="shared" si="66"/>
        <v>0.18830411175764117</v>
      </c>
      <c r="BW26" s="22">
        <f t="shared" si="67"/>
        <v>0.1514316115869663</v>
      </c>
      <c r="BX26" s="22">
        <f t="shared" si="68"/>
        <v>0.006014582645574814</v>
      </c>
      <c r="BY26" s="22">
        <f t="shared" si="69"/>
        <v>1.3073620465241318</v>
      </c>
      <c r="BZ26" s="22">
        <f t="shared" si="70"/>
        <v>0.4146579615837263</v>
      </c>
      <c r="CA26" s="22">
        <f t="shared" si="71"/>
        <v>0.011014315037419854</v>
      </c>
      <c r="CB26" s="22">
        <f t="shared" si="72"/>
        <v>0</v>
      </c>
      <c r="CC26" s="22">
        <f t="shared" si="73"/>
        <v>0.04210505023287744</v>
      </c>
      <c r="CD26" s="15">
        <f t="shared" si="156"/>
        <v>4.0055961279458945</v>
      </c>
      <c r="CE26" s="15">
        <f t="shared" si="157"/>
        <v>0.011192255891788454</v>
      </c>
      <c r="CF26" s="15">
        <f t="shared" si="158"/>
        <v>0.016764929165530518</v>
      </c>
      <c r="CG26" s="15">
        <f t="shared" si="159"/>
        <v>0.011014315037419854</v>
      </c>
      <c r="CH26" s="15">
        <f t="shared" si="160"/>
        <v>0.05905851086722473</v>
      </c>
      <c r="CI26" s="15">
        <f t="shared" si="161"/>
        <v>0.029586387492885925</v>
      </c>
      <c r="CJ26" s="15">
        <f t="shared" si="162"/>
        <v>0.02105252511643872</v>
      </c>
      <c r="CK26" s="15">
        <f t="shared" si="163"/>
        <v>0.3049605381071769</v>
      </c>
      <c r="CL26" s="15">
        <f t="shared" si="164"/>
        <v>0.5769165600019606</v>
      </c>
      <c r="CM26" s="15">
        <f t="shared" si="165"/>
        <v>0.5149061792335423</v>
      </c>
      <c r="CN26" s="15">
        <f t="shared" si="166"/>
        <v>0.2721815880848314</v>
      </c>
      <c r="CO26" s="15">
        <f t="shared" si="167"/>
        <v>1.0025888366231066</v>
      </c>
      <c r="CP26" s="15">
        <f t="shared" si="168"/>
        <v>0.3049605381071769</v>
      </c>
      <c r="CQ26" s="15"/>
      <c r="CR26" s="1">
        <f t="shared" si="169"/>
        <v>0.9031229484302947</v>
      </c>
      <c r="CS26" s="15">
        <f t="shared" si="170"/>
        <v>0.14023935569517784</v>
      </c>
      <c r="CT26" s="59">
        <f t="shared" si="89"/>
        <v>0.44080634941613006</v>
      </c>
      <c r="CU26" s="22">
        <f t="shared" si="90"/>
        <v>0.35885973661945797</v>
      </c>
      <c r="CV26" s="22">
        <f t="shared" si="171"/>
        <v>0.5374795078950958</v>
      </c>
      <c r="CW26" s="22">
        <f t="shared" si="11"/>
        <v>0.7890514156631229</v>
      </c>
      <c r="CX26" s="22">
        <f t="shared" si="12"/>
        <v>0.08464071787701363</v>
      </c>
      <c r="CY26" s="22">
        <f t="shared" si="13"/>
        <v>0.51325663929072</v>
      </c>
      <c r="CZ26" s="22">
        <f t="shared" si="14"/>
        <v>0.05505650144255904</v>
      </c>
      <c r="DA26" s="22">
        <f t="shared" si="15"/>
        <v>0.4049858778308394</v>
      </c>
      <c r="DB26" s="22">
        <f t="shared" si="16"/>
        <v>0.5049996254130223</v>
      </c>
      <c r="DC26" s="1">
        <f t="shared" si="17"/>
        <v>0.9070589155569758</v>
      </c>
      <c r="DD26" s="1">
        <f t="shared" si="18"/>
        <v>0.0011267069610459847</v>
      </c>
      <c r="DE26" s="1">
        <f t="shared" si="19"/>
        <v>0.038249919086709626</v>
      </c>
      <c r="DF26" s="1">
        <f t="shared" si="20"/>
        <v>0.08072777480848031</v>
      </c>
      <c r="DG26" s="1">
        <f t="shared" si="21"/>
        <v>0.0026784140969162997</v>
      </c>
      <c r="DH26" s="1">
        <f t="shared" si="22"/>
        <v>0.7840335050267465</v>
      </c>
      <c r="DI26" s="1">
        <f t="shared" si="23"/>
        <v>0.04814773866120755</v>
      </c>
      <c r="DJ26" s="1">
        <f t="shared" si="24"/>
        <v>0.001290761856051011</v>
      </c>
      <c r="DK26" s="1">
        <f t="shared" si="25"/>
        <v>0</v>
      </c>
      <c r="DL26" s="1">
        <f t="shared" si="26"/>
        <v>0.0085527328613102</v>
      </c>
      <c r="DM26" s="1">
        <f t="shared" si="172"/>
        <v>1.871866468915443</v>
      </c>
      <c r="DO26" s="15">
        <f t="shared" si="173"/>
        <v>1.8141178311139516</v>
      </c>
      <c r="DP26" s="15">
        <f t="shared" si="173"/>
        <v>0.0022534139220919693</v>
      </c>
      <c r="DQ26" s="15">
        <f t="shared" si="174"/>
        <v>0.11474975726012887</v>
      </c>
      <c r="DR26" s="15">
        <f t="shared" si="175"/>
        <v>0.08072777480848031</v>
      </c>
      <c r="DS26" s="15">
        <f t="shared" si="175"/>
        <v>0.0026784140969162997</v>
      </c>
      <c r="DT26" s="15">
        <f t="shared" si="175"/>
        <v>0.7840335050267465</v>
      </c>
      <c r="DU26" s="15">
        <f t="shared" si="176"/>
        <v>0.04814773866120755</v>
      </c>
      <c r="DV26" s="15">
        <f t="shared" si="176"/>
        <v>0.001290761856051011</v>
      </c>
      <c r="DW26" s="15">
        <f t="shared" si="176"/>
        <v>0</v>
      </c>
      <c r="DX26" s="15">
        <f t="shared" si="177"/>
        <v>0.025658198583930602</v>
      </c>
      <c r="DY26" s="15">
        <f t="shared" si="178"/>
        <v>2.873657395329505</v>
      </c>
      <c r="DZ26" s="15">
        <f t="shared" si="179"/>
        <v>2.087931571018756</v>
      </c>
      <c r="EB26" s="22">
        <f t="shared" si="99"/>
        <v>1.8938769465654457</v>
      </c>
      <c r="EC26" s="22">
        <f t="shared" si="100"/>
        <v>0.002352487035254511</v>
      </c>
      <c r="ED26" s="22">
        <f t="shared" si="180"/>
        <v>0.1061230534345543</v>
      </c>
      <c r="EE26" s="22">
        <f t="shared" si="181"/>
        <v>0.053603373865553555</v>
      </c>
      <c r="EF26" s="22">
        <f t="shared" si="103"/>
        <v>0.15972642730010786</v>
      </c>
      <c r="EG26" s="22">
        <f t="shared" si="104"/>
        <v>0.16855406968071865</v>
      </c>
      <c r="EH26" s="22">
        <f t="shared" si="105"/>
        <v>0.005592345353213232</v>
      </c>
      <c r="EI26" s="22">
        <f t="shared" si="106"/>
        <v>1.6370083078818367</v>
      </c>
      <c r="EJ26" s="22">
        <f t="shared" si="107"/>
        <v>0.10052918362389558</v>
      </c>
      <c r="EK26" s="22">
        <f t="shared" si="108"/>
        <v>0.005390044859831346</v>
      </c>
      <c r="EL26" s="22">
        <f t="shared" si="109"/>
        <v>0</v>
      </c>
      <c r="EM26" s="22">
        <f t="shared" si="110"/>
        <v>0.03571504191923829</v>
      </c>
      <c r="EN26" s="15">
        <f t="shared" si="182"/>
        <v>4.008744854219541</v>
      </c>
      <c r="EO26" s="15">
        <f t="shared" si="183"/>
        <v>0.017489708439084775</v>
      </c>
      <c r="EP26" s="15">
        <f t="shared" si="184"/>
        <v>0.026177333417475523</v>
      </c>
      <c r="EQ26" s="15">
        <f t="shared" si="185"/>
        <v>0.005390044859831346</v>
      </c>
      <c r="ER26" s="15">
        <f t="shared" si="186"/>
        <v>0.002352487035254511</v>
      </c>
      <c r="ES26" s="15">
        <f t="shared" si="187"/>
        <v>0.03571504191923829</v>
      </c>
      <c r="ET26" s="15">
        <f t="shared" si="188"/>
        <v>0.012498287086483914</v>
      </c>
      <c r="EU26" s="15">
        <f t="shared" si="189"/>
        <v>0.10052918362389558</v>
      </c>
      <c r="EV26" s="15">
        <f t="shared" si="190"/>
        <v>0.8478873825850674</v>
      </c>
      <c r="EW26" s="15">
        <f t="shared" si="191"/>
        <v>0.7663611903931702</v>
      </c>
      <c r="EX26" s="15">
        <f t="shared" si="192"/>
        <v>0.0908630867891618</v>
      </c>
      <c r="EY26" s="59">
        <f t="shared" si="122"/>
        <v>0.6641295546377679</v>
      </c>
      <c r="EZ26" s="15">
        <f t="shared" si="123"/>
        <v>0.1005291836238956</v>
      </c>
      <c r="FA26" s="15">
        <f t="shared" si="193"/>
        <v>0.08448446411055932</v>
      </c>
      <c r="FB26" s="15">
        <f t="shared" si="194"/>
        <v>0.7041821385390922</v>
      </c>
      <c r="FC26" s="22">
        <f t="shared" si="126"/>
        <v>0.9155155358894407</v>
      </c>
      <c r="FD26" s="22">
        <f t="shared" si="127"/>
        <v>0.8155773003745184</v>
      </c>
      <c r="FE26" s="22">
        <f t="shared" si="128"/>
        <v>0.07526208836635054</v>
      </c>
      <c r="FF26" s="22">
        <f t="shared" si="129"/>
        <v>0.8134249576102395</v>
      </c>
      <c r="FG26" s="22">
        <f t="shared" si="130"/>
        <v>0.07506346855282037</v>
      </c>
      <c r="FH26" s="58">
        <f t="shared" si="131"/>
        <v>0.6634109309850161</v>
      </c>
      <c r="FI26" s="15">
        <f t="shared" si="195"/>
        <v>1.004372427109771</v>
      </c>
      <c r="FK26" s="1">
        <f t="shared" si="28"/>
        <v>1314</v>
      </c>
      <c r="FL26" s="1">
        <f t="shared" si="133"/>
        <v>10</v>
      </c>
      <c r="FN26" s="1">
        <f t="shared" si="29"/>
        <v>0.6406569587249348</v>
      </c>
      <c r="FO26" s="1">
        <f t="shared" si="196"/>
        <v>1517.7937362139785</v>
      </c>
      <c r="FQ26" s="1">
        <f t="shared" si="30"/>
        <v>1370.511511846371</v>
      </c>
      <c r="FR26" s="1">
        <f t="shared" si="31"/>
        <v>1284.1162052992154</v>
      </c>
      <c r="FS26" s="1">
        <f t="shared" si="32"/>
        <v>1659.6864824799666</v>
      </c>
      <c r="FT26" s="1">
        <f t="shared" si="33"/>
        <v>1534.406477925973</v>
      </c>
      <c r="FU26" s="1">
        <f t="shared" si="135"/>
        <v>0.6104600616536818</v>
      </c>
      <c r="FV26" s="1">
        <f t="shared" si="197"/>
        <v>1856.7824828093744</v>
      </c>
      <c r="FW26" s="1">
        <f t="shared" si="34"/>
        <v>1609.2898106080856</v>
      </c>
      <c r="FY26" s="1">
        <f t="shared" si="137"/>
        <v>1512.8660941015291</v>
      </c>
      <c r="FZ26" s="1">
        <f t="shared" si="198"/>
        <v>743.3010747347026</v>
      </c>
      <c r="GB26" s="1">
        <f t="shared" si="35"/>
        <v>49.057283185501646</v>
      </c>
      <c r="GC26" s="1">
        <f t="shared" si="36"/>
        <v>37.21866785644713</v>
      </c>
      <c r="GE26" s="1">
        <f t="shared" si="199"/>
        <v>26.0071</v>
      </c>
      <c r="GF26" s="1">
        <f t="shared" si="200"/>
        <v>31.5754</v>
      </c>
      <c r="GG26" s="1">
        <f t="shared" si="201"/>
        <v>11.11</v>
      </c>
      <c r="GH26" s="1">
        <f t="shared" si="37"/>
        <v>997.0962127018469</v>
      </c>
      <c r="GI26" s="1">
        <f t="shared" si="38"/>
        <v>1432.6082960706653</v>
      </c>
      <c r="GK26" s="1">
        <f t="shared" si="142"/>
        <v>1342.430598691904</v>
      </c>
      <c r="GL26" s="1">
        <f t="shared" si="145"/>
        <v>1480.3580848328806</v>
      </c>
      <c r="GN26" s="1">
        <f t="shared" si="143"/>
        <v>1537.3484497979384</v>
      </c>
      <c r="GP26" s="1">
        <f t="shared" si="39"/>
        <v>12.9386781227683</v>
      </c>
      <c r="GQ26" s="1">
        <f t="shared" si="144"/>
        <v>2.9386781227683</v>
      </c>
      <c r="GR26" s="2">
        <f t="shared" si="40"/>
        <v>10</v>
      </c>
    </row>
    <row r="27" spans="1:200" ht="13.5">
      <c r="A27" s="1" t="s">
        <v>33</v>
      </c>
      <c r="B27" s="1" t="s">
        <v>32</v>
      </c>
      <c r="C27" s="23">
        <v>1.5</v>
      </c>
      <c r="D27" s="2">
        <v>1350</v>
      </c>
      <c r="F27" s="1">
        <v>1032</v>
      </c>
      <c r="G27" s="23">
        <v>51.64</v>
      </c>
      <c r="H27" s="23">
        <v>0.38</v>
      </c>
      <c r="I27" s="23">
        <v>8.16</v>
      </c>
      <c r="J27" s="23">
        <v>3.97</v>
      </c>
      <c r="K27" s="23">
        <v>0</v>
      </c>
      <c r="L27" s="23">
        <v>19.66</v>
      </c>
      <c r="M27" s="23">
        <v>14.85</v>
      </c>
      <c r="N27" s="23">
        <v>0.66</v>
      </c>
      <c r="O27" s="23">
        <v>0</v>
      </c>
      <c r="P27" s="23">
        <v>0.75</v>
      </c>
      <c r="R27" s="23">
        <v>53.3</v>
      </c>
      <c r="S27" s="23">
        <v>0.16</v>
      </c>
      <c r="T27" s="23">
        <v>7.5</v>
      </c>
      <c r="U27" s="23">
        <v>5.4</v>
      </c>
      <c r="V27" s="23">
        <v>0</v>
      </c>
      <c r="W27" s="23">
        <v>30.6</v>
      </c>
      <c r="X27" s="23">
        <v>2.3</v>
      </c>
      <c r="Y27" s="23">
        <v>0</v>
      </c>
      <c r="Z27" s="23">
        <v>0</v>
      </c>
      <c r="AA27" s="23">
        <v>0.76</v>
      </c>
      <c r="AC27" s="50">
        <f t="shared" si="41"/>
        <v>1319.7813672048803</v>
      </c>
      <c r="AD27" s="50">
        <f t="shared" si="0"/>
        <v>15.307649309023356</v>
      </c>
      <c r="AE27" s="69">
        <f t="shared" si="42"/>
        <v>0.8982463697567911</v>
      </c>
      <c r="AF27" s="27">
        <f t="shared" si="1"/>
        <v>1333.8998682523875</v>
      </c>
      <c r="AG27" s="27"/>
      <c r="AH27" s="27">
        <f t="shared" si="2"/>
        <v>1319.7813672048803</v>
      </c>
      <c r="AI27" s="27">
        <f t="shared" si="3"/>
        <v>1353.6492416876406</v>
      </c>
      <c r="AJ27" s="27">
        <f t="shared" si="4"/>
        <v>13.673876595046206</v>
      </c>
      <c r="AK27" s="27">
        <f t="shared" si="5"/>
        <v>15.307649309023356</v>
      </c>
      <c r="AL27" s="27">
        <f t="shared" si="43"/>
        <v>1373.659680730219</v>
      </c>
      <c r="AM27" s="27">
        <f t="shared" si="44"/>
        <v>1353.7797048104321</v>
      </c>
      <c r="AN27" s="29">
        <f t="shared" si="6"/>
        <v>1305.684736262475</v>
      </c>
      <c r="AO27" s="42">
        <f t="shared" si="7"/>
        <v>1.1442861987114277</v>
      </c>
      <c r="AP27" s="44"/>
      <c r="AQ27" s="1">
        <f t="shared" si="8"/>
        <v>0.19674450639999203</v>
      </c>
      <c r="AS27" s="1">
        <f t="shared" si="45"/>
        <v>0.8594591265938024</v>
      </c>
      <c r="AT27" s="1">
        <f t="shared" si="46"/>
        <v>0.004757207168860824</v>
      </c>
      <c r="AU27" s="1">
        <f t="shared" si="47"/>
        <v>0.08003059993526937</v>
      </c>
      <c r="AV27" s="1">
        <f t="shared" si="48"/>
        <v>0.05525676999821842</v>
      </c>
      <c r="AW27" s="1">
        <f t="shared" si="49"/>
        <v>0</v>
      </c>
      <c r="AX27" s="1">
        <f t="shared" si="50"/>
        <v>0.48778793382360236</v>
      </c>
      <c r="AY27" s="1">
        <f t="shared" si="51"/>
        <v>0.2648125626366415</v>
      </c>
      <c r="AZ27" s="1">
        <f t="shared" si="52"/>
        <v>0.01064878531242084</v>
      </c>
      <c r="BA27" s="1">
        <f t="shared" si="53"/>
        <v>0</v>
      </c>
      <c r="BB27" s="1">
        <f t="shared" si="54"/>
        <v>0.004934268958448193</v>
      </c>
      <c r="BC27" s="1">
        <f t="shared" si="146"/>
        <v>1.767687254427264</v>
      </c>
      <c r="BE27" s="15">
        <f t="shared" si="147"/>
        <v>1.7189182531876048</v>
      </c>
      <c r="BF27" s="15">
        <f t="shared" si="147"/>
        <v>0.009514414337721648</v>
      </c>
      <c r="BG27" s="15">
        <f t="shared" si="148"/>
        <v>0.2400917998058081</v>
      </c>
      <c r="BH27" s="15">
        <f t="shared" si="149"/>
        <v>0.05525676999821842</v>
      </c>
      <c r="BI27" s="15">
        <f t="shared" si="149"/>
        <v>0</v>
      </c>
      <c r="BJ27" s="15">
        <f t="shared" si="149"/>
        <v>0.48778793382360236</v>
      </c>
      <c r="BK27" s="15">
        <f t="shared" si="150"/>
        <v>0.2648125626366415</v>
      </c>
      <c r="BL27" s="15">
        <f t="shared" si="150"/>
        <v>0.01064878531242084</v>
      </c>
      <c r="BM27" s="15">
        <f t="shared" si="150"/>
        <v>0</v>
      </c>
      <c r="BN27" s="15">
        <f t="shared" si="151"/>
        <v>0.014802806875344578</v>
      </c>
      <c r="BO27" s="15">
        <f t="shared" si="152"/>
        <v>2.8018333259773622</v>
      </c>
      <c r="BP27" s="15">
        <f t="shared" si="153"/>
        <v>2.1414550053247807</v>
      </c>
      <c r="BR27" s="22">
        <f t="shared" si="62"/>
        <v>1.8404930485163626</v>
      </c>
      <c r="BS27" s="22">
        <f t="shared" si="63"/>
        <v>0.01018734510312394</v>
      </c>
      <c r="BT27" s="22">
        <f t="shared" si="154"/>
        <v>0.15950695148363736</v>
      </c>
      <c r="BU27" s="22">
        <f t="shared" si="155"/>
        <v>0.18325690613741796</v>
      </c>
      <c r="BV27" s="22">
        <f t="shared" si="66"/>
        <v>0.3427638576210553</v>
      </c>
      <c r="BW27" s="22">
        <f t="shared" si="67"/>
        <v>0.11832988669076501</v>
      </c>
      <c r="BX27" s="22">
        <f t="shared" si="68"/>
        <v>0</v>
      </c>
      <c r="BY27" s="22">
        <f t="shared" si="69"/>
        <v>1.0445759124235863</v>
      </c>
      <c r="BZ27" s="22">
        <f t="shared" si="70"/>
        <v>0.5670841877311179</v>
      </c>
      <c r="CA27" s="22">
        <f t="shared" si="71"/>
        <v>0.045607789215825235</v>
      </c>
      <c r="CB27" s="22">
        <f t="shared" si="72"/>
        <v>0</v>
      </c>
      <c r="CC27" s="22">
        <f t="shared" si="73"/>
        <v>0.02113302991737515</v>
      </c>
      <c r="CD27" s="15">
        <f t="shared" si="156"/>
        <v>3.990175057219212</v>
      </c>
      <c r="CE27" s="15">
        <f t="shared" si="157"/>
        <v>0</v>
      </c>
      <c r="CF27" s="15">
        <f t="shared" si="158"/>
        <v>-0.029547403730106225</v>
      </c>
      <c r="CG27" s="15">
        <f t="shared" si="159"/>
        <v>0.045607789215825235</v>
      </c>
      <c r="CH27" s="15">
        <f t="shared" si="160"/>
        <v>0.13764911692159273</v>
      </c>
      <c r="CI27" s="15">
        <f t="shared" si="161"/>
        <v>0.010928917281022313</v>
      </c>
      <c r="CJ27" s="15">
        <f t="shared" si="162"/>
        <v>0.010566514958687575</v>
      </c>
      <c r="CK27" s="15">
        <f t="shared" si="163"/>
        <v>0.40793963856981524</v>
      </c>
      <c r="CL27" s="15">
        <f t="shared" si="164"/>
        <v>0.37748308027226796</v>
      </c>
      <c r="CM27" s="15">
        <f t="shared" si="165"/>
        <v>0.3390728064991761</v>
      </c>
      <c r="CN27" s="15">
        <f t="shared" si="166"/>
        <v>0.36643029942523403</v>
      </c>
      <c r="CO27" s="15">
        <f t="shared" si="167"/>
        <v>0.9901750572192111</v>
      </c>
      <c r="CP27" s="15">
        <f t="shared" si="168"/>
        <v>0.40793963856981524</v>
      </c>
      <c r="CQ27" s="15"/>
      <c r="CR27" s="1">
        <f t="shared" si="169"/>
        <v>0.8982463697567912</v>
      </c>
      <c r="CS27" s="15">
        <f t="shared" si="170"/>
        <v>0.11832988669076501</v>
      </c>
      <c r="CT27" s="59">
        <f t="shared" si="89"/>
        <v>0.28696799870222256</v>
      </c>
      <c r="CU27" s="22">
        <f t="shared" si="90"/>
        <v>0.4748872594012775</v>
      </c>
      <c r="CV27" s="22">
        <f t="shared" si="171"/>
        <v>0.3998198672168571</v>
      </c>
      <c r="CW27" s="22">
        <f t="shared" si="11"/>
        <v>0.7055031059244099</v>
      </c>
      <c r="CX27" s="22">
        <f t="shared" si="12"/>
        <v>0.07991961291767308</v>
      </c>
      <c r="CY27" s="22">
        <f t="shared" si="13"/>
        <v>0.3478980256850879</v>
      </c>
      <c r="CZ27" s="22">
        <f t="shared" si="14"/>
        <v>0.03940999736796894</v>
      </c>
      <c r="DA27" s="22">
        <f t="shared" si="15"/>
        <v>0.24544313766579967</v>
      </c>
      <c r="DB27" s="22">
        <f t="shared" si="16"/>
        <v>0.3080057996607209</v>
      </c>
      <c r="DC27" s="1">
        <f t="shared" si="17"/>
        <v>0.887086976131868</v>
      </c>
      <c r="DD27" s="1">
        <f t="shared" si="18"/>
        <v>0.002003034597415084</v>
      </c>
      <c r="DE27" s="1">
        <f t="shared" si="19"/>
        <v>0.07355753670521081</v>
      </c>
      <c r="DF27" s="1">
        <f t="shared" si="20"/>
        <v>0.07516034206306788</v>
      </c>
      <c r="DG27" s="1">
        <f t="shared" si="21"/>
        <v>0</v>
      </c>
      <c r="DH27" s="1">
        <f t="shared" si="22"/>
        <v>0.7592223181588115</v>
      </c>
      <c r="DI27" s="1">
        <f t="shared" si="23"/>
        <v>0.04101474034102865</v>
      </c>
      <c r="DJ27" s="1">
        <f t="shared" si="24"/>
        <v>0</v>
      </c>
      <c r="DK27" s="1">
        <f t="shared" si="25"/>
        <v>0</v>
      </c>
      <c r="DL27" s="1">
        <f t="shared" si="26"/>
        <v>0.005000059211227502</v>
      </c>
      <c r="DM27" s="1">
        <f t="shared" si="172"/>
        <v>1.8430450072086295</v>
      </c>
      <c r="DO27" s="15">
        <f t="shared" si="173"/>
        <v>1.774173952263736</v>
      </c>
      <c r="DP27" s="15">
        <f t="shared" si="173"/>
        <v>0.004006069194830168</v>
      </c>
      <c r="DQ27" s="15">
        <f t="shared" si="174"/>
        <v>0.22067261011563244</v>
      </c>
      <c r="DR27" s="15">
        <f t="shared" si="175"/>
        <v>0.07516034206306788</v>
      </c>
      <c r="DS27" s="15">
        <f t="shared" si="175"/>
        <v>0</v>
      </c>
      <c r="DT27" s="15">
        <f t="shared" si="175"/>
        <v>0.7592223181588115</v>
      </c>
      <c r="DU27" s="15">
        <f t="shared" si="176"/>
        <v>0.04101474034102865</v>
      </c>
      <c r="DV27" s="15">
        <f t="shared" si="176"/>
        <v>0</v>
      </c>
      <c r="DW27" s="15">
        <f t="shared" si="176"/>
        <v>0</v>
      </c>
      <c r="DX27" s="15">
        <f t="shared" si="177"/>
        <v>0.015000177633682506</v>
      </c>
      <c r="DY27" s="15">
        <f t="shared" si="178"/>
        <v>2.8892502097707893</v>
      </c>
      <c r="DZ27" s="15">
        <f t="shared" si="179"/>
        <v>2.0766633432124917</v>
      </c>
      <c r="EB27" s="22">
        <f t="shared" si="99"/>
        <v>1.842181005574265</v>
      </c>
      <c r="EC27" s="22">
        <f t="shared" si="100"/>
        <v>0.004159628523638295</v>
      </c>
      <c r="ED27" s="22">
        <f t="shared" si="180"/>
        <v>0.1578189944257351</v>
      </c>
      <c r="EE27" s="22">
        <f t="shared" si="181"/>
        <v>0.1476894857597022</v>
      </c>
      <c r="EF27" s="22">
        <f t="shared" si="103"/>
        <v>0.3055084801854373</v>
      </c>
      <c r="EG27" s="22">
        <f t="shared" si="104"/>
        <v>0.156082727225685</v>
      </c>
      <c r="EH27" s="22">
        <f t="shared" si="105"/>
        <v>0</v>
      </c>
      <c r="EI27" s="22">
        <f t="shared" si="106"/>
        <v>1.5766491574692154</v>
      </c>
      <c r="EJ27" s="22">
        <f t="shared" si="107"/>
        <v>0.08517380779759282</v>
      </c>
      <c r="EK27" s="22">
        <f t="shared" si="108"/>
        <v>0</v>
      </c>
      <c r="EL27" s="22">
        <f t="shared" si="109"/>
        <v>0</v>
      </c>
      <c r="EM27" s="22">
        <f t="shared" si="110"/>
        <v>0.020766879355696235</v>
      </c>
      <c r="EN27" s="15">
        <f t="shared" si="182"/>
        <v>3.9905216861315305</v>
      </c>
      <c r="EO27" s="15">
        <f t="shared" si="183"/>
        <v>0</v>
      </c>
      <c r="EP27" s="15">
        <f t="shared" si="184"/>
        <v>-0.028502480469388303</v>
      </c>
      <c r="EQ27" s="15">
        <f t="shared" si="185"/>
        <v>0</v>
      </c>
      <c r="ER27" s="15">
        <f t="shared" si="186"/>
        <v>0.004159628523638295</v>
      </c>
      <c r="ES27" s="15">
        <f t="shared" si="187"/>
        <v>0.020766879355696235</v>
      </c>
      <c r="ET27" s="15">
        <f t="shared" si="188"/>
        <v>0.12692260640400596</v>
      </c>
      <c r="EU27" s="15">
        <f t="shared" si="189"/>
        <v>0.08517380779759282</v>
      </c>
      <c r="EV27" s="15">
        <f t="shared" si="190"/>
        <v>0.7582379209848318</v>
      </c>
      <c r="EW27" s="15">
        <f t="shared" si="191"/>
        <v>0.6899366196475595</v>
      </c>
      <c r="EX27" s="15">
        <f t="shared" si="192"/>
        <v>0.07750143775196083</v>
      </c>
      <c r="EY27" s="59">
        <f t="shared" si="122"/>
        <v>0.6286011952631089</v>
      </c>
      <c r="EZ27" s="15">
        <f t="shared" si="123"/>
        <v>0.0851738077975928</v>
      </c>
      <c r="FA27" s="15">
        <f t="shared" si="193"/>
        <v>0.0900789837160341</v>
      </c>
      <c r="FB27" s="15">
        <f t="shared" si="194"/>
        <v>0.6627724090540323</v>
      </c>
      <c r="FC27" s="22">
        <f t="shared" si="126"/>
        <v>0.9099210162839658</v>
      </c>
      <c r="FD27" s="22">
        <f t="shared" si="127"/>
        <v>0.752854095925067</v>
      </c>
      <c r="FE27" s="22">
        <f t="shared" si="128"/>
        <v>0.07452991043589634</v>
      </c>
      <c r="FF27" s="22">
        <f t="shared" si="129"/>
        <v>0.8324195785320051</v>
      </c>
      <c r="FG27" s="22">
        <f t="shared" si="130"/>
        <v>0.0824066136704022</v>
      </c>
      <c r="FH27" s="58">
        <f t="shared" si="131"/>
        <v>0.626690489226038</v>
      </c>
      <c r="FI27" s="15">
        <f t="shared" si="195"/>
        <v>0.9952608430657651</v>
      </c>
      <c r="FK27" s="1">
        <f t="shared" si="28"/>
        <v>1350</v>
      </c>
      <c r="FL27" s="1">
        <f t="shared" si="133"/>
        <v>15</v>
      </c>
      <c r="FN27" s="1">
        <f t="shared" si="29"/>
        <v>0.46281758823221814</v>
      </c>
      <c r="FO27" s="1">
        <f t="shared" si="196"/>
        <v>1438.8334606856079</v>
      </c>
      <c r="FQ27" s="1">
        <f t="shared" si="30"/>
        <v>1239.6837719946154</v>
      </c>
      <c r="FR27" s="1">
        <f t="shared" si="31"/>
        <v>1137.746138633659</v>
      </c>
      <c r="FS27" s="1">
        <f t="shared" si="32"/>
        <v>1439.6847895159879</v>
      </c>
      <c r="FT27" s="1">
        <f t="shared" si="33"/>
        <v>1327.8731536426199</v>
      </c>
      <c r="FU27" s="1">
        <f t="shared" si="135"/>
        <v>0.3916496929272401</v>
      </c>
      <c r="FV27" s="1">
        <f t="shared" si="197"/>
        <v>1512.31216126741</v>
      </c>
      <c r="FW27" s="1">
        <f t="shared" si="34"/>
        <v>1408.8831915174965</v>
      </c>
      <c r="FY27" s="1">
        <f t="shared" si="137"/>
        <v>1373.659680730219</v>
      </c>
      <c r="FZ27" s="1">
        <f t="shared" si="198"/>
        <v>1161.3479664996785</v>
      </c>
      <c r="GB27" s="1">
        <f t="shared" si="35"/>
        <v>40.18432335407783</v>
      </c>
      <c r="GC27" s="1">
        <f t="shared" si="36"/>
        <v>31.243102476120775</v>
      </c>
      <c r="GE27" s="1">
        <f t="shared" si="199"/>
        <v>25.89565</v>
      </c>
      <c r="GF27" s="1">
        <f t="shared" si="200"/>
        <v>31.143099999999997</v>
      </c>
      <c r="GG27" s="1">
        <f t="shared" si="201"/>
        <v>2.3649999999999984</v>
      </c>
      <c r="GH27" s="1">
        <f t="shared" si="37"/>
        <v>825.280279486252</v>
      </c>
      <c r="GI27" s="1">
        <f t="shared" si="38"/>
        <v>1473.1037668386894</v>
      </c>
      <c r="GK27" s="1">
        <f t="shared" si="142"/>
        <v>1310.8961862443816</v>
      </c>
      <c r="GL27" s="1" t="e">
        <f t="shared" si="145"/>
        <v>#NUM!</v>
      </c>
      <c r="GN27" s="1">
        <f t="shared" si="143"/>
        <v>1353.7797048104321</v>
      </c>
      <c r="GP27" s="1">
        <f t="shared" si="39"/>
        <v>13.673876595046206</v>
      </c>
      <c r="GQ27" s="1">
        <f t="shared" si="144"/>
        <v>-1.326123404953794</v>
      </c>
      <c r="GR27" s="2">
        <f t="shared" si="40"/>
        <v>15</v>
      </c>
    </row>
    <row r="28" spans="1:200" ht="13.5">
      <c r="A28" s="1" t="s">
        <v>34</v>
      </c>
      <c r="B28" s="1" t="s">
        <v>35</v>
      </c>
      <c r="C28" s="23">
        <v>1.2</v>
      </c>
      <c r="D28" s="2">
        <v>1215</v>
      </c>
      <c r="F28" s="1">
        <v>4575</v>
      </c>
      <c r="G28" s="23">
        <v>51.3</v>
      </c>
      <c r="H28" s="23">
        <v>0.19</v>
      </c>
      <c r="I28" s="23">
        <v>7.2</v>
      </c>
      <c r="J28" s="23">
        <v>3.9</v>
      </c>
      <c r="K28" s="23">
        <v>0.09</v>
      </c>
      <c r="L28" s="23">
        <v>17.6</v>
      </c>
      <c r="M28" s="23">
        <v>19.1</v>
      </c>
      <c r="N28" s="23">
        <v>0.5</v>
      </c>
      <c r="O28" s="23">
        <v>0</v>
      </c>
      <c r="P28" s="23">
        <v>0.5</v>
      </c>
      <c r="R28" s="23">
        <v>52.9</v>
      </c>
      <c r="S28" s="23">
        <v>0.09</v>
      </c>
      <c r="T28" s="23">
        <v>6.9</v>
      </c>
      <c r="U28" s="23">
        <v>6.72</v>
      </c>
      <c r="V28" s="23">
        <v>0.12</v>
      </c>
      <c r="W28" s="23">
        <v>30.6</v>
      </c>
      <c r="X28" s="23">
        <v>1.63</v>
      </c>
      <c r="Y28" s="23">
        <v>0.07</v>
      </c>
      <c r="Z28" s="23">
        <v>0</v>
      </c>
      <c r="AA28" s="23">
        <v>0.5</v>
      </c>
      <c r="AC28" s="50">
        <f t="shared" si="41"/>
        <v>1173.991433920463</v>
      </c>
      <c r="AD28" s="50">
        <f t="shared" si="0"/>
        <v>11.222267758386312</v>
      </c>
      <c r="AE28" s="69">
        <f t="shared" si="42"/>
        <v>0.8894359209832735</v>
      </c>
      <c r="AF28" s="27">
        <f t="shared" si="1"/>
        <v>1183.3463594769623</v>
      </c>
      <c r="AG28" s="27"/>
      <c r="AH28" s="27">
        <f t="shared" si="2"/>
        <v>1173.991433920463</v>
      </c>
      <c r="AI28" s="27">
        <f t="shared" si="3"/>
        <v>1171.9061114158865</v>
      </c>
      <c r="AJ28" s="27">
        <f t="shared" si="4"/>
        <v>10.902806887369966</v>
      </c>
      <c r="AK28" s="27">
        <f t="shared" si="5"/>
        <v>11.222267758386312</v>
      </c>
      <c r="AL28" s="27">
        <f t="shared" si="43"/>
        <v>1227.4319761811894</v>
      </c>
      <c r="AM28" s="27">
        <f t="shared" si="44"/>
        <v>1180.8736680103398</v>
      </c>
      <c r="AN28" s="29">
        <f t="shared" si="6"/>
        <v>1154.2473874409804</v>
      </c>
      <c r="AO28" s="42">
        <f t="shared" si="7"/>
        <v>1.0090300324675323</v>
      </c>
      <c r="AP28" s="44"/>
      <c r="AQ28" s="1">
        <f t="shared" si="8"/>
        <v>0.23131913898488254</v>
      </c>
      <c r="AS28" s="1">
        <f t="shared" si="45"/>
        <v>0.8538004104233552</v>
      </c>
      <c r="AT28" s="1">
        <f t="shared" si="46"/>
        <v>0.002378603584430412</v>
      </c>
      <c r="AU28" s="1">
        <f t="shared" si="47"/>
        <v>0.07061523523700239</v>
      </c>
      <c r="AV28" s="1">
        <f t="shared" si="48"/>
        <v>0.05428246926777124</v>
      </c>
      <c r="AW28" s="1">
        <f t="shared" si="49"/>
        <v>0.0012687224669603525</v>
      </c>
      <c r="AX28" s="1">
        <f t="shared" si="50"/>
        <v>0.43667688887565625</v>
      </c>
      <c r="AY28" s="1">
        <f t="shared" si="51"/>
        <v>0.3406006697885423</v>
      </c>
      <c r="AZ28" s="1">
        <f t="shared" si="52"/>
        <v>0.008067261600318818</v>
      </c>
      <c r="BA28" s="1">
        <f t="shared" si="53"/>
        <v>0</v>
      </c>
      <c r="BB28" s="1">
        <f t="shared" si="54"/>
        <v>0.0032895126389654613</v>
      </c>
      <c r="BC28" s="1">
        <f t="shared" si="146"/>
        <v>1.7709797738830024</v>
      </c>
      <c r="BE28" s="15">
        <f t="shared" si="147"/>
        <v>1.7076008208467104</v>
      </c>
      <c r="BF28" s="15">
        <f t="shared" si="147"/>
        <v>0.004757207168860824</v>
      </c>
      <c r="BG28" s="15">
        <f t="shared" si="148"/>
        <v>0.21184570571100717</v>
      </c>
      <c r="BH28" s="15">
        <f t="shared" si="149"/>
        <v>0.05428246926777124</v>
      </c>
      <c r="BI28" s="15">
        <f t="shared" si="149"/>
        <v>0.0012687224669603525</v>
      </c>
      <c r="BJ28" s="15">
        <f t="shared" si="149"/>
        <v>0.43667688887565625</v>
      </c>
      <c r="BK28" s="15">
        <f t="shared" si="150"/>
        <v>0.3406006697885423</v>
      </c>
      <c r="BL28" s="15">
        <f t="shared" si="150"/>
        <v>0.008067261600318818</v>
      </c>
      <c r="BM28" s="15">
        <f t="shared" si="150"/>
        <v>0</v>
      </c>
      <c r="BN28" s="15">
        <f t="shared" si="151"/>
        <v>0.009868537916896384</v>
      </c>
      <c r="BO28" s="15">
        <f t="shared" si="152"/>
        <v>2.7749682836427234</v>
      </c>
      <c r="BP28" s="15">
        <f t="shared" si="153"/>
        <v>2.1621868744833908</v>
      </c>
      <c r="BR28" s="22">
        <f t="shared" si="62"/>
        <v>1.8460760408459107</v>
      </c>
      <c r="BS28" s="22">
        <f t="shared" si="63"/>
        <v>0.0051429854498545825</v>
      </c>
      <c r="BT28" s="22">
        <f t="shared" si="154"/>
        <v>0.1539239591540893</v>
      </c>
      <c r="BU28" s="22">
        <f t="shared" si="155"/>
        <v>0.15144271038191787</v>
      </c>
      <c r="BV28" s="22">
        <f t="shared" si="66"/>
        <v>0.30536666953600716</v>
      </c>
      <c r="BW28" s="22">
        <f t="shared" si="67"/>
        <v>0.11736884256532301</v>
      </c>
      <c r="BX28" s="22">
        <f t="shared" si="68"/>
        <v>0.0027432150654238614</v>
      </c>
      <c r="BY28" s="22">
        <f t="shared" si="69"/>
        <v>0.9441770375171862</v>
      </c>
      <c r="BZ28" s="22">
        <f t="shared" si="70"/>
        <v>0.7364422976570377</v>
      </c>
      <c r="CA28" s="22">
        <f t="shared" si="71"/>
        <v>0.03488585429046644</v>
      </c>
      <c r="CB28" s="22">
        <f t="shared" si="72"/>
        <v>0</v>
      </c>
      <c r="CC28" s="22">
        <f t="shared" si="73"/>
        <v>0.014225082102836684</v>
      </c>
      <c r="CD28" s="15">
        <f t="shared" si="156"/>
        <v>4.006428025030046</v>
      </c>
      <c r="CE28" s="15">
        <f t="shared" si="157"/>
        <v>0.01285605006009203</v>
      </c>
      <c r="CF28" s="15">
        <f t="shared" si="158"/>
        <v>0.019253135181426018</v>
      </c>
      <c r="CG28" s="15">
        <f t="shared" si="159"/>
        <v>0.03488585429046644</v>
      </c>
      <c r="CH28" s="15">
        <f t="shared" si="160"/>
        <v>0.11655685609145142</v>
      </c>
      <c r="CI28" s="15">
        <f t="shared" si="161"/>
        <v>0.01868355153131894</v>
      </c>
      <c r="CJ28" s="15">
        <f t="shared" si="162"/>
        <v>0.007112541051418342</v>
      </c>
      <c r="CK28" s="15">
        <f t="shared" si="163"/>
        <v>0.594089348982849</v>
      </c>
      <c r="CL28" s="15">
        <f t="shared" si="164"/>
        <v>0.23372826554983012</v>
      </c>
      <c r="CM28" s="15">
        <f t="shared" si="165"/>
        <v>0.2073504862137057</v>
      </c>
      <c r="CN28" s="15">
        <f t="shared" si="166"/>
        <v>0.5270424399727343</v>
      </c>
      <c r="CO28" s="15">
        <f t="shared" si="167"/>
        <v>1.0050564174973342</v>
      </c>
      <c r="CP28" s="15">
        <f t="shared" si="168"/>
        <v>0.594089348982849</v>
      </c>
      <c r="CQ28" s="15"/>
      <c r="CR28" s="1">
        <f t="shared" si="169"/>
        <v>0.9003396528571304</v>
      </c>
      <c r="CS28" s="15">
        <f t="shared" si="170"/>
        <v>0.10451279250523099</v>
      </c>
      <c r="CT28" s="59">
        <f t="shared" si="89"/>
        <v>0.24691691392751322</v>
      </c>
      <c r="CU28" s="22">
        <f t="shared" si="90"/>
        <v>0.5671850452375549</v>
      </c>
      <c r="CV28" s="22">
        <f t="shared" si="171"/>
        <v>0.3527978603127151</v>
      </c>
      <c r="CW28" s="22">
        <f t="shared" si="11"/>
        <v>0.7349771246990109</v>
      </c>
      <c r="CX28" s="22">
        <f t="shared" si="12"/>
        <v>0.081356047306288</v>
      </c>
      <c r="CY28" s="22">
        <f t="shared" si="13"/>
        <v>0.20341250699406638</v>
      </c>
      <c r="CZ28" s="22">
        <f t="shared" si="14"/>
        <v>0.022516125993005582</v>
      </c>
      <c r="DA28" s="22">
        <f t="shared" si="15"/>
        <v>0.14950353951831635</v>
      </c>
      <c r="DB28" s="22">
        <f t="shared" si="16"/>
        <v>0.18814232343195597</v>
      </c>
      <c r="DC28" s="1">
        <f t="shared" si="17"/>
        <v>0.8804296629901655</v>
      </c>
      <c r="DD28" s="1">
        <f t="shared" si="18"/>
        <v>0.0011267069610459847</v>
      </c>
      <c r="DE28" s="1">
        <f t="shared" si="19"/>
        <v>0.06767293376879395</v>
      </c>
      <c r="DF28" s="1">
        <f t="shared" si="20"/>
        <v>0.09353287012292891</v>
      </c>
      <c r="DG28" s="1">
        <f t="shared" si="21"/>
        <v>0.0016916299559471366</v>
      </c>
      <c r="DH28" s="1">
        <f t="shared" si="22"/>
        <v>0.7592223181588115</v>
      </c>
      <c r="DI28" s="1">
        <f t="shared" si="23"/>
        <v>0.029066968154729</v>
      </c>
      <c r="DJ28" s="1">
        <f t="shared" si="24"/>
        <v>0.0011294166240446346</v>
      </c>
      <c r="DK28" s="1">
        <f t="shared" si="25"/>
        <v>0</v>
      </c>
      <c r="DL28" s="1">
        <f t="shared" si="26"/>
        <v>0.0032895126389654613</v>
      </c>
      <c r="DM28" s="1">
        <f t="shared" si="172"/>
        <v>1.8371620193754317</v>
      </c>
      <c r="DO28" s="15">
        <f t="shared" si="173"/>
        <v>1.760859325980331</v>
      </c>
      <c r="DP28" s="15">
        <f t="shared" si="173"/>
        <v>0.0022534139220919693</v>
      </c>
      <c r="DQ28" s="15">
        <f t="shared" si="174"/>
        <v>0.20301880130638184</v>
      </c>
      <c r="DR28" s="15">
        <f t="shared" si="175"/>
        <v>0.09353287012292891</v>
      </c>
      <c r="DS28" s="15">
        <f t="shared" si="175"/>
        <v>0.0016916299559471366</v>
      </c>
      <c r="DT28" s="15">
        <f t="shared" si="175"/>
        <v>0.7592223181588115</v>
      </c>
      <c r="DU28" s="15">
        <f t="shared" si="176"/>
        <v>0.029066968154729</v>
      </c>
      <c r="DV28" s="15">
        <f t="shared" si="176"/>
        <v>0.0011294166240446346</v>
      </c>
      <c r="DW28" s="15">
        <f t="shared" si="176"/>
        <v>0</v>
      </c>
      <c r="DX28" s="15">
        <f t="shared" si="177"/>
        <v>0.009868537916896384</v>
      </c>
      <c r="DY28" s="15">
        <f t="shared" si="178"/>
        <v>2.8606432821421626</v>
      </c>
      <c r="DZ28" s="15">
        <f t="shared" si="179"/>
        <v>2.0974303358463358</v>
      </c>
      <c r="EB28" s="22">
        <f t="shared" si="99"/>
        <v>1.846639883734539</v>
      </c>
      <c r="EC28" s="22">
        <f t="shared" si="100"/>
        <v>0.002363189359707084</v>
      </c>
      <c r="ED28" s="22">
        <f t="shared" si="180"/>
        <v>0.15336011626546098</v>
      </c>
      <c r="EE28" s="22">
        <f t="shared" si="181"/>
        <v>0.1305184121393157</v>
      </c>
      <c r="EF28" s="22">
        <f t="shared" si="103"/>
        <v>0.2838785284047767</v>
      </c>
      <c r="EG28" s="22">
        <f t="shared" si="104"/>
        <v>0.1961786791946065</v>
      </c>
      <c r="EH28" s="22">
        <f t="shared" si="105"/>
        <v>0.003548075986629925</v>
      </c>
      <c r="EI28" s="22">
        <f t="shared" si="106"/>
        <v>1.5924159217578695</v>
      </c>
      <c r="EJ28" s="22">
        <f t="shared" si="107"/>
        <v>0.060965940778807994</v>
      </c>
      <c r="EK28" s="22">
        <f t="shared" si="108"/>
        <v>0.004737745378160746</v>
      </c>
      <c r="EL28" s="22">
        <f t="shared" si="109"/>
        <v>0</v>
      </c>
      <c r="EM28" s="22">
        <f t="shared" si="110"/>
        <v>0.013799047198232188</v>
      </c>
      <c r="EN28" s="15">
        <f t="shared" si="182"/>
        <v>4.00452701179333</v>
      </c>
      <c r="EO28" s="15">
        <f t="shared" si="183"/>
        <v>0.009054023586659665</v>
      </c>
      <c r="EP28" s="15">
        <f t="shared" si="184"/>
        <v>0.013565682378962052</v>
      </c>
      <c r="EQ28" s="15">
        <f t="shared" si="185"/>
        <v>0.004737745378160746</v>
      </c>
      <c r="ER28" s="15">
        <f t="shared" si="186"/>
        <v>0.002363189359707084</v>
      </c>
      <c r="ES28" s="15">
        <f t="shared" si="187"/>
        <v>0.013799047198232188</v>
      </c>
      <c r="ET28" s="15">
        <f t="shared" si="188"/>
        <v>0.11198161956292277</v>
      </c>
      <c r="EU28" s="15">
        <f t="shared" si="189"/>
        <v>0.060965940778807994</v>
      </c>
      <c r="EV28" s="15">
        <f t="shared" si="190"/>
        <v>0.808415963618834</v>
      </c>
      <c r="EW28" s="15">
        <f t="shared" si="191"/>
        <v>0.718321408465406</v>
      </c>
      <c r="EX28" s="15">
        <f t="shared" si="192"/>
        <v>0.054171543387904</v>
      </c>
      <c r="EY28" s="59">
        <f t="shared" si="122"/>
        <v>0.6322638334924514</v>
      </c>
      <c r="EZ28" s="15">
        <f t="shared" si="123"/>
        <v>0.060965940778808</v>
      </c>
      <c r="FA28" s="15">
        <f t="shared" si="193"/>
        <v>0.10515335136945293</v>
      </c>
      <c r="FB28" s="15">
        <f t="shared" si="194"/>
        <v>0.6566928110972653</v>
      </c>
      <c r="FC28" s="22">
        <f t="shared" si="126"/>
        <v>0.8948466486305471</v>
      </c>
      <c r="FD28" s="22">
        <f t="shared" si="127"/>
        <v>0.7554879990617096</v>
      </c>
      <c r="FE28" s="22">
        <f t="shared" si="128"/>
        <v>0.08877732865437585</v>
      </c>
      <c r="FF28" s="22">
        <f t="shared" si="129"/>
        <v>0.832876941364588</v>
      </c>
      <c r="FG28" s="22">
        <f t="shared" si="130"/>
        <v>0.09787129649181331</v>
      </c>
      <c r="FH28" s="58">
        <f t="shared" si="131"/>
        <v>0.6292285338961694</v>
      </c>
      <c r="FI28" s="15">
        <f t="shared" si="195"/>
        <v>1.002263505896665</v>
      </c>
      <c r="FK28" s="1">
        <f t="shared" si="28"/>
        <v>1215</v>
      </c>
      <c r="FL28" s="1">
        <f t="shared" si="133"/>
        <v>12</v>
      </c>
      <c r="FN28" s="1">
        <f t="shared" si="29"/>
        <v>0.27715459740621723</v>
      </c>
      <c r="FO28" s="1">
        <f t="shared" si="196"/>
        <v>1282.3936199385191</v>
      </c>
      <c r="FQ28" s="1">
        <f t="shared" si="30"/>
        <v>1188.8200400759429</v>
      </c>
      <c r="FR28" s="1">
        <f t="shared" si="31"/>
        <v>1036.9834117260182</v>
      </c>
      <c r="FS28" s="1">
        <f t="shared" si="32"/>
        <v>1298.3274405490622</v>
      </c>
      <c r="FT28" s="1">
        <f t="shared" si="33"/>
        <v>1140.9344884248544</v>
      </c>
      <c r="FU28" s="1">
        <f t="shared" si="135"/>
        <v>0.23759815625746292</v>
      </c>
      <c r="FV28" s="1">
        <f t="shared" si="197"/>
        <v>1237.249663591223</v>
      </c>
      <c r="FW28" s="1">
        <f t="shared" si="34"/>
        <v>1225.6680988789626</v>
      </c>
      <c r="FY28" s="1">
        <f t="shared" si="137"/>
        <v>1227.4319761811894</v>
      </c>
      <c r="FZ28" s="1">
        <f t="shared" si="198"/>
        <v>1090.1080229700965</v>
      </c>
      <c r="GB28" s="1">
        <f t="shared" si="35"/>
        <v>30.993672692006243</v>
      </c>
      <c r="GC28" s="1">
        <f t="shared" si="36"/>
        <v>24.877586097204812</v>
      </c>
      <c r="GE28" s="1">
        <f t="shared" si="199"/>
        <v>25.96252</v>
      </c>
      <c r="GF28" s="1">
        <f t="shared" si="200"/>
        <v>31.402479999999997</v>
      </c>
      <c r="GG28" s="1">
        <f t="shared" si="201"/>
        <v>7.612000000000002</v>
      </c>
      <c r="GH28" s="1">
        <f t="shared" si="37"/>
        <v>668.6358334375387</v>
      </c>
      <c r="GI28" s="1">
        <f t="shared" si="38"/>
        <v>1230.2639540667383</v>
      </c>
      <c r="GK28" s="1">
        <f t="shared" si="142"/>
        <v>1179.6863944400088</v>
      </c>
      <c r="GL28" s="1">
        <f aca="true" t="shared" si="202" ref="GL28:GL40">-273.15+((35000+61.5*FL28)/((LN(EK28/CA28))^2+19.8))</f>
        <v>1229.3246167894476</v>
      </c>
      <c r="GN28" s="1">
        <f t="shared" si="143"/>
        <v>1180.8736680103398</v>
      </c>
      <c r="GP28" s="1">
        <f t="shared" si="39"/>
        <v>10.902806887369966</v>
      </c>
      <c r="GQ28" s="1">
        <f t="shared" si="144"/>
        <v>-1.097193112630034</v>
      </c>
      <c r="GR28" s="2">
        <f t="shared" si="40"/>
        <v>12</v>
      </c>
    </row>
    <row r="29" spans="1:200" ht="13.5">
      <c r="A29" s="1" t="s">
        <v>34</v>
      </c>
      <c r="B29" s="1" t="s">
        <v>36</v>
      </c>
      <c r="C29" s="23">
        <v>1.2</v>
      </c>
      <c r="D29" s="2">
        <v>1245</v>
      </c>
      <c r="F29" s="1">
        <v>4573</v>
      </c>
      <c r="G29" s="23">
        <v>52.4</v>
      </c>
      <c r="H29" s="23">
        <v>0.14</v>
      </c>
      <c r="I29" s="23">
        <v>6</v>
      </c>
      <c r="J29" s="23">
        <v>4.1</v>
      </c>
      <c r="K29" s="23">
        <v>0.08</v>
      </c>
      <c r="L29" s="23">
        <v>19.4</v>
      </c>
      <c r="M29" s="23">
        <v>17.6</v>
      </c>
      <c r="N29" s="23">
        <v>0.49</v>
      </c>
      <c r="O29" s="23">
        <v>0</v>
      </c>
      <c r="P29" s="23">
        <v>0.9</v>
      </c>
      <c r="R29" s="23">
        <v>55</v>
      </c>
      <c r="S29" s="23">
        <v>0.09</v>
      </c>
      <c r="T29" s="23">
        <v>6</v>
      </c>
      <c r="U29" s="23">
        <v>6.4</v>
      </c>
      <c r="V29" s="23">
        <v>0.13</v>
      </c>
      <c r="W29" s="23">
        <v>31.2</v>
      </c>
      <c r="X29" s="23">
        <v>1.7</v>
      </c>
      <c r="Y29" s="23">
        <v>0.05</v>
      </c>
      <c r="Z29" s="23">
        <v>0</v>
      </c>
      <c r="AA29" s="23">
        <v>0.8</v>
      </c>
      <c r="AC29" s="50">
        <f t="shared" si="41"/>
        <v>1235.1931924922214</v>
      </c>
      <c r="AD29" s="50">
        <f t="shared" si="0"/>
        <v>11.463227282160158</v>
      </c>
      <c r="AE29" s="69">
        <f t="shared" si="42"/>
        <v>0.8940084596684097</v>
      </c>
      <c r="AF29" s="27">
        <f t="shared" si="1"/>
        <v>1248.585154168578</v>
      </c>
      <c r="AG29" s="27"/>
      <c r="AH29" s="27">
        <f t="shared" si="2"/>
        <v>1235.1931924922214</v>
      </c>
      <c r="AI29" s="27">
        <f t="shared" si="3"/>
        <v>1234.9607843679144</v>
      </c>
      <c r="AJ29" s="27">
        <f t="shared" si="4"/>
        <v>11.002318315030385</v>
      </c>
      <c r="AK29" s="27">
        <f t="shared" si="5"/>
        <v>11.463227282160158</v>
      </c>
      <c r="AL29" s="27">
        <f t="shared" si="43"/>
        <v>1294.7249019362298</v>
      </c>
      <c r="AM29" s="27">
        <f t="shared" si="44"/>
        <v>1267.278148459703</v>
      </c>
      <c r="AN29" s="29">
        <f t="shared" si="6"/>
        <v>1219.2327969301566</v>
      </c>
      <c r="AO29" s="42">
        <f t="shared" si="7"/>
        <v>1.030283505154639</v>
      </c>
      <c r="AP29" s="44"/>
      <c r="AQ29" s="1">
        <f t="shared" si="8"/>
        <v>0.18966962722075112</v>
      </c>
      <c r="AS29" s="1">
        <f t="shared" si="45"/>
        <v>0.8721080215630372</v>
      </c>
      <c r="AT29" s="1">
        <f t="shared" si="46"/>
        <v>0.0017526552727381987</v>
      </c>
      <c r="AU29" s="1">
        <f t="shared" si="47"/>
        <v>0.058846029364168655</v>
      </c>
      <c r="AV29" s="1">
        <f t="shared" si="48"/>
        <v>0.057066185640477454</v>
      </c>
      <c r="AW29" s="1">
        <f t="shared" si="49"/>
        <v>0.0011277533039647577</v>
      </c>
      <c r="AX29" s="1">
        <f t="shared" si="50"/>
        <v>0.48133702523793925</v>
      </c>
      <c r="AY29" s="1">
        <f t="shared" si="51"/>
        <v>0.31385192608787144</v>
      </c>
      <c r="AZ29" s="1">
        <f t="shared" si="52"/>
        <v>0.007905916368312442</v>
      </c>
      <c r="BA29" s="1">
        <f t="shared" si="53"/>
        <v>0</v>
      </c>
      <c r="BB29" s="1">
        <f t="shared" si="54"/>
        <v>0.005921122750137831</v>
      </c>
      <c r="BC29" s="1">
        <f t="shared" si="146"/>
        <v>1.7999166355886471</v>
      </c>
      <c r="BE29" s="15">
        <f t="shared" si="147"/>
        <v>1.7442160431260745</v>
      </c>
      <c r="BF29" s="15">
        <f t="shared" si="147"/>
        <v>0.0035053105454763973</v>
      </c>
      <c r="BG29" s="15">
        <f t="shared" si="148"/>
        <v>0.17653808809250596</v>
      </c>
      <c r="BH29" s="15">
        <f t="shared" si="149"/>
        <v>0.057066185640477454</v>
      </c>
      <c r="BI29" s="15">
        <f t="shared" si="149"/>
        <v>0.0011277533039647577</v>
      </c>
      <c r="BJ29" s="15">
        <f t="shared" si="149"/>
        <v>0.48133702523793925</v>
      </c>
      <c r="BK29" s="15">
        <f t="shared" si="150"/>
        <v>0.31385192608787144</v>
      </c>
      <c r="BL29" s="15">
        <f t="shared" si="150"/>
        <v>0.007905916368312442</v>
      </c>
      <c r="BM29" s="15">
        <f t="shared" si="150"/>
        <v>0</v>
      </c>
      <c r="BN29" s="15">
        <f t="shared" si="151"/>
        <v>0.017763368250413494</v>
      </c>
      <c r="BO29" s="15">
        <f t="shared" si="152"/>
        <v>2.803311616653036</v>
      </c>
      <c r="BP29" s="15">
        <f t="shared" si="153"/>
        <v>2.1403257363031205</v>
      </c>
      <c r="BR29" s="22">
        <f t="shared" si="62"/>
        <v>1.8665952433877653</v>
      </c>
      <c r="BS29" s="22">
        <f t="shared" si="63"/>
        <v>0.0037512531871089316</v>
      </c>
      <c r="BT29" s="22">
        <f t="shared" si="154"/>
        <v>0.13340475661223472</v>
      </c>
      <c r="BU29" s="22">
        <f t="shared" si="155"/>
        <v>0.11849458564252391</v>
      </c>
      <c r="BV29" s="22">
        <f t="shared" si="66"/>
        <v>0.25189934225475863</v>
      </c>
      <c r="BW29" s="22">
        <f t="shared" si="67"/>
        <v>0.12214022579896547</v>
      </c>
      <c r="BX29" s="22">
        <f t="shared" si="68"/>
        <v>0.002413759420676647</v>
      </c>
      <c r="BY29" s="22">
        <f t="shared" si="69"/>
        <v>1.030218022952346</v>
      </c>
      <c r="BZ29" s="22">
        <f t="shared" si="70"/>
        <v>0.671745354794176</v>
      </c>
      <c r="CA29" s="22">
        <f t="shared" si="71"/>
        <v>0.03384247254431844</v>
      </c>
      <c r="CB29" s="22">
        <f t="shared" si="72"/>
        <v>0</v>
      </c>
      <c r="CC29" s="22">
        <f t="shared" si="73"/>
        <v>0.025346262819859824</v>
      </c>
      <c r="CD29" s="15">
        <f t="shared" si="156"/>
        <v>4.007951937159976</v>
      </c>
      <c r="CE29" s="15">
        <f t="shared" si="157"/>
        <v>0.01590387431995156</v>
      </c>
      <c r="CF29" s="15">
        <f t="shared" si="158"/>
        <v>0.023808480594535553</v>
      </c>
      <c r="CG29" s="15">
        <f t="shared" si="159"/>
        <v>0.03384247254431844</v>
      </c>
      <c r="CH29" s="15">
        <f t="shared" si="160"/>
        <v>0.08465211309820547</v>
      </c>
      <c r="CI29" s="15">
        <f t="shared" si="161"/>
        <v>0.024376321757014624</v>
      </c>
      <c r="CJ29" s="15">
        <f t="shared" si="162"/>
        <v>0.012673131409929912</v>
      </c>
      <c r="CK29" s="15">
        <f t="shared" si="163"/>
        <v>0.550043788529026</v>
      </c>
      <c r="CL29" s="15">
        <f t="shared" si="164"/>
        <v>0.30115723011114276</v>
      </c>
      <c r="CM29" s="15">
        <f t="shared" si="165"/>
        <v>0.2686743391832351</v>
      </c>
      <c r="CN29" s="15">
        <f t="shared" si="166"/>
        <v>0.49071593383409595</v>
      </c>
      <c r="CO29" s="15">
        <f t="shared" si="167"/>
        <v>1.0067450574496373</v>
      </c>
      <c r="CP29" s="15">
        <f t="shared" si="168"/>
        <v>0.5500437885290259</v>
      </c>
      <c r="CQ29" s="15"/>
      <c r="CR29" s="1">
        <f t="shared" si="169"/>
        <v>0.9065194750716054</v>
      </c>
      <c r="CS29" s="15">
        <f t="shared" si="170"/>
        <v>0.1062363514790139</v>
      </c>
      <c r="CT29" s="59">
        <f t="shared" si="89"/>
        <v>0.2904466463603806</v>
      </c>
      <c r="CU29" s="22">
        <f t="shared" si="90"/>
        <v>0.5263518332234477</v>
      </c>
      <c r="CV29" s="22">
        <f t="shared" si="171"/>
        <v>0.4014543777128443</v>
      </c>
      <c r="CW29" s="22">
        <f t="shared" si="11"/>
        <v>0.758307188759465</v>
      </c>
      <c r="CX29" s="22">
        <f t="shared" si="12"/>
        <v>0.07819683527109081</v>
      </c>
      <c r="CY29" s="22">
        <f t="shared" si="13"/>
        <v>0.26470224829281797</v>
      </c>
      <c r="CZ29" s="22">
        <f t="shared" si="14"/>
        <v>0.027296164948010994</v>
      </c>
      <c r="DA29" s="22">
        <f t="shared" si="15"/>
        <v>0.20072561776123668</v>
      </c>
      <c r="DB29" s="22">
        <f t="shared" si="16"/>
        <v>0.24861811425106445</v>
      </c>
      <c r="DC29" s="1">
        <f t="shared" si="17"/>
        <v>0.915380556984104</v>
      </c>
      <c r="DD29" s="1">
        <f t="shared" si="18"/>
        <v>0.0011267069610459847</v>
      </c>
      <c r="DE29" s="1">
        <f t="shared" si="19"/>
        <v>0.058846029364168655</v>
      </c>
      <c r="DF29" s="1">
        <f t="shared" si="20"/>
        <v>0.08907892392659897</v>
      </c>
      <c r="DG29" s="1">
        <f t="shared" si="21"/>
        <v>0.0018325991189427314</v>
      </c>
      <c r="DH29" s="1">
        <f t="shared" si="22"/>
        <v>0.7741090302795725</v>
      </c>
      <c r="DI29" s="1">
        <f t="shared" si="23"/>
        <v>0.030315242860760306</v>
      </c>
      <c r="DJ29" s="1">
        <f t="shared" si="24"/>
        <v>0.0008067261600318819</v>
      </c>
      <c r="DK29" s="1">
        <f t="shared" si="25"/>
        <v>0</v>
      </c>
      <c r="DL29" s="1">
        <f t="shared" si="26"/>
        <v>0.005263220222344739</v>
      </c>
      <c r="DM29" s="1">
        <f t="shared" si="172"/>
        <v>1.8767590358775699</v>
      </c>
      <c r="DO29" s="15">
        <f t="shared" si="173"/>
        <v>1.830761113968208</v>
      </c>
      <c r="DP29" s="15">
        <f t="shared" si="173"/>
        <v>0.0022534139220919693</v>
      </c>
      <c r="DQ29" s="15">
        <f t="shared" si="174"/>
        <v>0.17653808809250596</v>
      </c>
      <c r="DR29" s="15">
        <f t="shared" si="175"/>
        <v>0.08907892392659897</v>
      </c>
      <c r="DS29" s="15">
        <f t="shared" si="175"/>
        <v>0.0018325991189427314</v>
      </c>
      <c r="DT29" s="15">
        <f t="shared" si="175"/>
        <v>0.7741090302795725</v>
      </c>
      <c r="DU29" s="15">
        <f t="shared" si="176"/>
        <v>0.030315242860760306</v>
      </c>
      <c r="DV29" s="15">
        <f t="shared" si="176"/>
        <v>0.0008067261600318819</v>
      </c>
      <c r="DW29" s="15">
        <f t="shared" si="176"/>
        <v>0</v>
      </c>
      <c r="DX29" s="15">
        <f t="shared" si="177"/>
        <v>0.015789660667034217</v>
      </c>
      <c r="DY29" s="15">
        <f t="shared" si="178"/>
        <v>2.9214847989957464</v>
      </c>
      <c r="DZ29" s="15">
        <f t="shared" si="179"/>
        <v>2.0537502033426587</v>
      </c>
      <c r="EB29" s="22">
        <f t="shared" si="99"/>
        <v>1.8799630050420197</v>
      </c>
      <c r="EC29" s="22">
        <f t="shared" si="100"/>
        <v>0.00231397465035578</v>
      </c>
      <c r="ED29" s="22">
        <f t="shared" si="180"/>
        <v>0.12003699495798026</v>
      </c>
      <c r="EE29" s="22">
        <f t="shared" si="181"/>
        <v>0.12167309458715861</v>
      </c>
      <c r="EF29" s="22">
        <f t="shared" si="103"/>
        <v>0.24171008954513887</v>
      </c>
      <c r="EG29" s="22">
        <f t="shared" si="104"/>
        <v>0.18294585812779784</v>
      </c>
      <c r="EH29" s="22">
        <f t="shared" si="105"/>
        <v>0.0037637008131742116</v>
      </c>
      <c r="EI29" s="22">
        <f t="shared" si="106"/>
        <v>1.5898265783460603</v>
      </c>
      <c r="EJ29" s="22">
        <f t="shared" si="107"/>
        <v>0.06225993618966856</v>
      </c>
      <c r="EK29" s="22">
        <f t="shared" si="108"/>
        <v>0.003313628030414639</v>
      </c>
      <c r="EL29" s="22">
        <f t="shared" si="109"/>
        <v>0</v>
      </c>
      <c r="EM29" s="22">
        <f t="shared" si="110"/>
        <v>0.0216186792037554</v>
      </c>
      <c r="EN29" s="15">
        <f t="shared" si="182"/>
        <v>3.987715449948386</v>
      </c>
      <c r="EO29" s="15">
        <f t="shared" si="183"/>
        <v>0</v>
      </c>
      <c r="EP29" s="15">
        <f t="shared" si="184"/>
        <v>-0.03696718145254785</v>
      </c>
      <c r="EQ29" s="15">
        <f t="shared" si="185"/>
        <v>0.003313628030414639</v>
      </c>
      <c r="ER29" s="15">
        <f t="shared" si="186"/>
        <v>0.00231397465035578</v>
      </c>
      <c r="ES29" s="15">
        <f t="shared" si="187"/>
        <v>0.0216186792037554</v>
      </c>
      <c r="ET29" s="15">
        <f t="shared" si="188"/>
        <v>0.09674078735298856</v>
      </c>
      <c r="EU29" s="15">
        <f t="shared" si="189"/>
        <v>0.06225993618966856</v>
      </c>
      <c r="EV29" s="15">
        <f t="shared" si="190"/>
        <v>0.8076107195470097</v>
      </c>
      <c r="EW29" s="15">
        <f t="shared" si="191"/>
        <v>0.7227328281955316</v>
      </c>
      <c r="EX29" s="15">
        <f t="shared" si="192"/>
        <v>0.05571657071475173</v>
      </c>
      <c r="EY29" s="59">
        <f t="shared" si="122"/>
        <v>0.640664914785542</v>
      </c>
      <c r="EZ29" s="15">
        <f t="shared" si="123"/>
        <v>0.06225993618966856</v>
      </c>
      <c r="FA29" s="15">
        <f t="shared" si="193"/>
        <v>0.10319759849813956</v>
      </c>
      <c r="FB29" s="15">
        <f t="shared" si="194"/>
        <v>0.6731182594681938</v>
      </c>
      <c r="FC29" s="22">
        <f t="shared" si="126"/>
        <v>0.8968024015018604</v>
      </c>
      <c r="FD29" s="22">
        <f t="shared" si="127"/>
        <v>0.766222816627254</v>
      </c>
      <c r="FE29" s="22">
        <f t="shared" si="128"/>
        <v>0.08817143493147632</v>
      </c>
      <c r="FF29" s="22">
        <f t="shared" si="129"/>
        <v>0.8346205757064642</v>
      </c>
      <c r="FG29" s="22">
        <f t="shared" si="130"/>
        <v>0.0960421592602784</v>
      </c>
      <c r="FH29" s="58">
        <f t="shared" si="131"/>
        <v>0.6395053283328671</v>
      </c>
      <c r="FI29" s="15">
        <f t="shared" si="195"/>
        <v>0.9938577249741927</v>
      </c>
      <c r="FK29" s="1">
        <f t="shared" si="28"/>
        <v>1245</v>
      </c>
      <c r="FL29" s="1">
        <f t="shared" si="133"/>
        <v>12</v>
      </c>
      <c r="FN29" s="1">
        <f t="shared" si="29"/>
        <v>0.3480201274309623</v>
      </c>
      <c r="FO29" s="1">
        <f t="shared" si="196"/>
        <v>1347.952057703375</v>
      </c>
      <c r="FQ29" s="1">
        <f t="shared" si="30"/>
        <v>1297.0363218173247</v>
      </c>
      <c r="FR29" s="1">
        <f t="shared" si="31"/>
        <v>1146.4780446717275</v>
      </c>
      <c r="FS29" s="1">
        <f t="shared" si="32"/>
        <v>1299.7750585808517</v>
      </c>
      <c r="FT29" s="1">
        <f t="shared" si="33"/>
        <v>1155.489707923752</v>
      </c>
      <c r="FU29" s="1">
        <f t="shared" si="135"/>
        <v>0.313876380490074</v>
      </c>
      <c r="FV29" s="1">
        <f t="shared" si="197"/>
        <v>1379.0425254200145</v>
      </c>
      <c r="FW29" s="1">
        <f t="shared" si="34"/>
        <v>1256.8245578542683</v>
      </c>
      <c r="FY29" s="1">
        <f t="shared" si="137"/>
        <v>1294.7249019362298</v>
      </c>
      <c r="FZ29" s="1">
        <f t="shared" si="198"/>
        <v>1056.221018275809</v>
      </c>
      <c r="GB29" s="1">
        <f t="shared" si="35"/>
        <v>42.465280149333246</v>
      </c>
      <c r="GC29" s="1">
        <f t="shared" si="36"/>
        <v>32.7948884830776</v>
      </c>
      <c r="GE29" s="1">
        <f t="shared" si="199"/>
        <v>25.96252</v>
      </c>
      <c r="GF29" s="1">
        <f t="shared" si="200"/>
        <v>31.402479999999997</v>
      </c>
      <c r="GG29" s="1">
        <f t="shared" si="201"/>
        <v>7.612000000000002</v>
      </c>
      <c r="GH29" s="1">
        <f t="shared" si="37"/>
        <v>757.7763247942818</v>
      </c>
      <c r="GI29" s="1">
        <f t="shared" si="38"/>
        <v>1251.5763077946958</v>
      </c>
      <c r="GK29" s="1">
        <f t="shared" si="142"/>
        <v>1186.291875130482</v>
      </c>
      <c r="GL29" s="1">
        <f t="shared" si="202"/>
        <v>1145.0552256275755</v>
      </c>
      <c r="GN29" s="1">
        <f t="shared" si="143"/>
        <v>1267.278148459703</v>
      </c>
      <c r="GP29" s="1">
        <f t="shared" si="39"/>
        <v>11.002318315030385</v>
      </c>
      <c r="GQ29" s="1">
        <f t="shared" si="144"/>
        <v>-0.9976816849696153</v>
      </c>
      <c r="GR29" s="2">
        <f t="shared" si="40"/>
        <v>12</v>
      </c>
    </row>
    <row r="30" spans="1:200" ht="13.5">
      <c r="A30" s="1" t="s">
        <v>17</v>
      </c>
      <c r="B30" s="1" t="s">
        <v>18</v>
      </c>
      <c r="C30" s="23">
        <v>1.9</v>
      </c>
      <c r="D30" s="2">
        <v>1416</v>
      </c>
      <c r="F30" s="1">
        <v>5120</v>
      </c>
      <c r="G30" s="23">
        <v>52</v>
      </c>
      <c r="H30" s="23">
        <v>0.14</v>
      </c>
      <c r="I30" s="23">
        <v>9.39</v>
      </c>
      <c r="J30" s="23">
        <v>4.89</v>
      </c>
      <c r="K30" s="23">
        <v>0.06</v>
      </c>
      <c r="L30" s="23">
        <v>20.8</v>
      </c>
      <c r="M30" s="23">
        <v>13.3</v>
      </c>
      <c r="N30" s="23">
        <v>0.69</v>
      </c>
      <c r="O30" s="23">
        <v>0</v>
      </c>
      <c r="P30" s="23">
        <v>0.09</v>
      </c>
      <c r="R30" s="23">
        <v>54</v>
      </c>
      <c r="S30" s="23">
        <v>0.06</v>
      </c>
      <c r="T30" s="23">
        <v>8.26</v>
      </c>
      <c r="U30" s="23">
        <v>6.13</v>
      </c>
      <c r="V30" s="23">
        <v>0.04</v>
      </c>
      <c r="W30" s="23">
        <v>30.5</v>
      </c>
      <c r="X30" s="23">
        <v>2.18</v>
      </c>
      <c r="Y30" s="23">
        <v>0.15</v>
      </c>
      <c r="Z30" s="23">
        <v>0</v>
      </c>
      <c r="AA30" s="23">
        <v>0.06</v>
      </c>
      <c r="AC30" s="50">
        <f t="shared" si="41"/>
        <v>1360.1718328537634</v>
      </c>
      <c r="AD30" s="50">
        <f t="shared" si="0"/>
        <v>19.19890573896361</v>
      </c>
      <c r="AE30" s="69">
        <f t="shared" si="42"/>
        <v>0.8834825554141192</v>
      </c>
      <c r="AF30" s="27">
        <f t="shared" si="1"/>
        <v>1356.2664357807762</v>
      </c>
      <c r="AG30" s="27"/>
      <c r="AH30" s="27">
        <f t="shared" si="2"/>
        <v>1360.1718328537634</v>
      </c>
      <c r="AI30" s="27">
        <f t="shared" si="3"/>
        <v>1363.9770559369724</v>
      </c>
      <c r="AJ30" s="27">
        <f t="shared" si="4"/>
        <v>18.305994226412537</v>
      </c>
      <c r="AK30" s="27">
        <f t="shared" si="5"/>
        <v>19.19890573896361</v>
      </c>
      <c r="AL30" s="27">
        <f t="shared" si="43"/>
        <v>1393.2568657850238</v>
      </c>
      <c r="AM30" s="27">
        <f t="shared" si="44"/>
        <v>1399.4056873378659</v>
      </c>
      <c r="AN30" s="29">
        <f t="shared" si="6"/>
        <v>1376.7057586516405</v>
      </c>
      <c r="AO30" s="42">
        <f t="shared" si="7"/>
        <v>1.1697280085330657</v>
      </c>
      <c r="AP30" s="44"/>
      <c r="AQ30" s="1">
        <f t="shared" si="8"/>
        <v>0.15938891250725312</v>
      </c>
      <c r="AS30" s="1">
        <f t="shared" si="45"/>
        <v>0.8654507084213348</v>
      </c>
      <c r="AT30" s="1">
        <f t="shared" si="46"/>
        <v>0.0017526552727381987</v>
      </c>
      <c r="AU30" s="1">
        <f t="shared" si="47"/>
        <v>0.09209403595492395</v>
      </c>
      <c r="AV30" s="1">
        <f t="shared" si="48"/>
        <v>0.06806186531266702</v>
      </c>
      <c r="AW30" s="1">
        <f t="shared" si="49"/>
        <v>0.0008458149779735683</v>
      </c>
      <c r="AX30" s="1">
        <f t="shared" si="50"/>
        <v>0.5160726868530483</v>
      </c>
      <c r="AY30" s="1">
        <f t="shared" si="51"/>
        <v>0.2371721941459483</v>
      </c>
      <c r="AZ30" s="1">
        <f t="shared" si="52"/>
        <v>0.011132821008439969</v>
      </c>
      <c r="BA30" s="1">
        <f t="shared" si="53"/>
        <v>0</v>
      </c>
      <c r="BB30" s="1">
        <f t="shared" si="54"/>
        <v>0.000592112275013783</v>
      </c>
      <c r="BC30" s="1">
        <f aca="true" t="shared" si="203" ref="BC30:BC39">SUM(AS30:BB30)</f>
        <v>1.793174894222088</v>
      </c>
      <c r="BE30" s="15">
        <f aca="true" t="shared" si="204" ref="BE30:BF33">AS30*2</f>
        <v>1.7309014168426695</v>
      </c>
      <c r="BF30" s="15">
        <f t="shared" si="204"/>
        <v>0.0035053105454763973</v>
      </c>
      <c r="BG30" s="15">
        <f aca="true" t="shared" si="205" ref="BG30:BG39">AU30*3</f>
        <v>0.27628210786477186</v>
      </c>
      <c r="BH30" s="15">
        <f aca="true" t="shared" si="206" ref="BH30:BJ36">AV30</f>
        <v>0.06806186531266702</v>
      </c>
      <c r="BI30" s="15">
        <f t="shared" si="206"/>
        <v>0.0008458149779735683</v>
      </c>
      <c r="BJ30" s="15">
        <f t="shared" si="206"/>
        <v>0.5160726868530483</v>
      </c>
      <c r="BK30" s="15">
        <f aca="true" t="shared" si="207" ref="BK30:BM36">AY30</f>
        <v>0.2371721941459483</v>
      </c>
      <c r="BL30" s="15">
        <f t="shared" si="207"/>
        <v>0.011132821008439969</v>
      </c>
      <c r="BM30" s="15">
        <f t="shared" si="207"/>
        <v>0</v>
      </c>
      <c r="BN30" s="15">
        <f aca="true" t="shared" si="208" ref="BN30:BN39">BB30*3</f>
        <v>0.001776336825041349</v>
      </c>
      <c r="BO30" s="15">
        <f aca="true" t="shared" si="209" ref="BO30:BO39">SUM(BE30:BN30)</f>
        <v>2.8457505543760355</v>
      </c>
      <c r="BP30" s="15">
        <f aca="true" t="shared" si="210" ref="BP30:BP39">6/BO30</f>
        <v>2.1084068632697046</v>
      </c>
      <c r="BR30" s="22">
        <f t="shared" si="62"/>
        <v>1.8247222134571701</v>
      </c>
      <c r="BS30" s="22">
        <f t="shared" si="63"/>
        <v>0.003695310405987054</v>
      </c>
      <c r="BT30" s="22">
        <f aca="true" t="shared" si="211" ref="BT30:BT39">2-BR30</f>
        <v>0.17527778654282988</v>
      </c>
      <c r="BU30" s="22">
        <f aca="true" t="shared" si="212" ref="BU30:BU39">IF(BV30-BT30&lt;0,0,BV30-BT30)</f>
        <v>0.21306560840430733</v>
      </c>
      <c r="BV30" s="22">
        <f t="shared" si="66"/>
        <v>0.3883433949471372</v>
      </c>
      <c r="BW30" s="22">
        <f t="shared" si="67"/>
        <v>0.14350210395216537</v>
      </c>
      <c r="BX30" s="22">
        <f t="shared" si="68"/>
        <v>0.0017833221046157854</v>
      </c>
      <c r="BY30" s="22">
        <f t="shared" si="69"/>
        <v>1.088091194907004</v>
      </c>
      <c r="BZ30" s="22">
        <f t="shared" si="70"/>
        <v>0.5000554819140522</v>
      </c>
      <c r="CA30" s="22">
        <f t="shared" si="71"/>
        <v>0.04694503244349597</v>
      </c>
      <c r="CB30" s="22">
        <f t="shared" si="72"/>
        <v>0</v>
      </c>
      <c r="CC30" s="22">
        <f t="shared" si="73"/>
        <v>0.002496827168930598</v>
      </c>
      <c r="CD30" s="15">
        <f aca="true" t="shared" si="213" ref="CD30:CD39">BR30+BS30+BV30+BW30+BX30+BY30+BZ30+CA30+CB30+CC30</f>
        <v>3.999634881300558</v>
      </c>
      <c r="CE30" s="15">
        <f aca="true" t="shared" si="214" ref="CE30:CE39">IF(CA30+BT30-BU30-2*BS30-CC30&gt;0,CA30+BT30-BU30-2*BS30-CC30,0)</f>
        <v>0</v>
      </c>
      <c r="CF30" s="15">
        <f aca="true" t="shared" si="215" ref="CF30:CF39">12-48/CD30</f>
        <v>-0.001095456091201541</v>
      </c>
      <c r="CG30" s="15">
        <f aca="true" t="shared" si="216" ref="CG30:CG39">IF(CA30&lt;BU30,CA30,BU30)</f>
        <v>0.04694503244349597</v>
      </c>
      <c r="CH30" s="15">
        <f aca="true" t="shared" si="217" ref="CH30:CH39">IF(BU30&gt;CA30,BU30-CA30,0)</f>
        <v>0.16612057596081137</v>
      </c>
      <c r="CI30" s="15">
        <f aca="true" t="shared" si="218" ref="CI30:CI39">IF(BT30&gt;CH30,(BT30-CH30)/2,0)</f>
        <v>0.004578605291009258</v>
      </c>
      <c r="CJ30" s="15">
        <f aca="true" t="shared" si="219" ref="CJ30:CJ39">CC30/2</f>
        <v>0.001248413584465299</v>
      </c>
      <c r="CK30" s="15">
        <f aca="true" t="shared" si="220" ref="CK30:CK39">IF(BZ30-CI30-CH30-CJ30&gt;0,BZ30-CI30-CH30-CJ30,0)</f>
        <v>0.3281078870777663</v>
      </c>
      <c r="CL30" s="15">
        <f aca="true" t="shared" si="221" ref="CL30:CL39">((BW30+BY30)-CK30)/2</f>
        <v>0.45174270589070153</v>
      </c>
      <c r="CM30" s="15">
        <f aca="true" t="shared" si="222" ref="CM30:CM39">CL30*(BY30/(BY30+BX30+BW30))</f>
        <v>0.3985297372176876</v>
      </c>
      <c r="CN30" s="15">
        <f aca="true" t="shared" si="223" ref="CN30:CN39">CP30*(BY30/(BY30+BX30+BW30))</f>
        <v>0.2894584645441742</v>
      </c>
      <c r="CO30" s="15">
        <f aca="true" t="shared" si="224" ref="CO30:CO39">SUM(CG30:CL30)</f>
        <v>0.9987432202482497</v>
      </c>
      <c r="CP30" s="15">
        <f aca="true" t="shared" si="225" ref="CP30:CP39">BZ30-CH30-CI30-CJ30</f>
        <v>0.32810788707776634</v>
      </c>
      <c r="CQ30" s="15"/>
      <c r="CR30" s="1">
        <f aca="true" t="shared" si="226" ref="CR30:CR39">BY30/(BY30+CS30)</f>
        <v>0.8834825554141192</v>
      </c>
      <c r="CS30" s="15">
        <f aca="true" t="shared" si="227" ref="CS30:CS39">BW30-CE30</f>
        <v>0.14350210395216537</v>
      </c>
      <c r="CT30" s="59">
        <f t="shared" si="89"/>
        <v>0.30435912403004645</v>
      </c>
      <c r="CU30" s="22">
        <f t="shared" si="90"/>
        <v>0.4293867946199933</v>
      </c>
      <c r="CV30" s="22">
        <f aca="true" t="shared" si="228" ref="CV30:CV39">(BY30/(BZ30+BY30+BW30-CE30+BX30+CA30))*(BY30/(BW30+BV30+BS30+CC30+BY30))</f>
        <v>0.4089438051183542</v>
      </c>
      <c r="CW30" s="22">
        <f t="shared" si="11"/>
        <v>0.6897721617020537</v>
      </c>
      <c r="CX30" s="22">
        <f t="shared" si="12"/>
        <v>0.09097009231872129</v>
      </c>
      <c r="CY30" s="22">
        <f t="shared" si="13"/>
        <v>0.3986416092065625</v>
      </c>
      <c r="CZ30" s="22">
        <f t="shared" si="14"/>
        <v>0.05257455433127352</v>
      </c>
      <c r="DA30" s="22">
        <f t="shared" si="15"/>
        <v>0.27497188452679594</v>
      </c>
      <c r="DB30" s="22">
        <f t="shared" si="16"/>
        <v>0.3538412380737857</v>
      </c>
      <c r="DC30" s="1">
        <f t="shared" si="17"/>
        <v>0.8987372741298476</v>
      </c>
      <c r="DD30" s="1">
        <f t="shared" si="18"/>
        <v>0.0007511379740306564</v>
      </c>
      <c r="DE30" s="1">
        <f t="shared" si="19"/>
        <v>0.08101136709133884</v>
      </c>
      <c r="DF30" s="1">
        <f t="shared" si="20"/>
        <v>0.08532090682344556</v>
      </c>
      <c r="DG30" s="1">
        <f t="shared" si="21"/>
        <v>0.0005638766519823788</v>
      </c>
      <c r="DH30" s="1">
        <f t="shared" si="22"/>
        <v>0.7567411994720179</v>
      </c>
      <c r="DI30" s="1">
        <f t="shared" si="23"/>
        <v>0.03887484084497499</v>
      </c>
      <c r="DJ30" s="1">
        <f t="shared" si="24"/>
        <v>0.0024201784800956454</v>
      </c>
      <c r="DK30" s="1">
        <f t="shared" si="25"/>
        <v>0</v>
      </c>
      <c r="DL30" s="1">
        <f t="shared" si="26"/>
        <v>0.00039474151667585536</v>
      </c>
      <c r="DM30" s="1">
        <f aca="true" t="shared" si="229" ref="DM30:DM39">SUM(DC30:DL30)</f>
        <v>1.8648155229844097</v>
      </c>
      <c r="DO30" s="15">
        <f aca="true" t="shared" si="230" ref="DO30:DP33">DC30*2</f>
        <v>1.7974745482596952</v>
      </c>
      <c r="DP30" s="15">
        <f t="shared" si="230"/>
        <v>0.0015022759480613128</v>
      </c>
      <c r="DQ30" s="15">
        <f aca="true" t="shared" si="231" ref="DQ30:DQ39">DE30*3</f>
        <v>0.24303410127401653</v>
      </c>
      <c r="DR30" s="15">
        <f aca="true" t="shared" si="232" ref="DR30:DT36">DF30</f>
        <v>0.08532090682344556</v>
      </c>
      <c r="DS30" s="15">
        <f t="shared" si="232"/>
        <v>0.0005638766519823788</v>
      </c>
      <c r="DT30" s="15">
        <f t="shared" si="232"/>
        <v>0.7567411994720179</v>
      </c>
      <c r="DU30" s="15">
        <f aca="true" t="shared" si="233" ref="DU30:DW36">DI30</f>
        <v>0.03887484084497499</v>
      </c>
      <c r="DV30" s="15">
        <f t="shared" si="233"/>
        <v>0.0024201784800956454</v>
      </c>
      <c r="DW30" s="15">
        <f t="shared" si="233"/>
        <v>0</v>
      </c>
      <c r="DX30" s="15">
        <f aca="true" t="shared" si="234" ref="DX30:DX39">DL30*3</f>
        <v>0.001184224550027566</v>
      </c>
      <c r="DY30" s="15">
        <f aca="true" t="shared" si="235" ref="DY30:DY39">SUM(DO30:DX30)</f>
        <v>2.927116152304317</v>
      </c>
      <c r="DZ30" s="15">
        <f aca="true" t="shared" si="236" ref="DZ30:DZ39">6/DY30</f>
        <v>2.049799081350637</v>
      </c>
      <c r="EB30" s="22">
        <f t="shared" si="99"/>
        <v>1.8422308388869373</v>
      </c>
      <c r="EC30" s="22">
        <f t="shared" si="100"/>
        <v>0.001539681929135618</v>
      </c>
      <c r="ED30" s="22">
        <f aca="true" t="shared" si="237" ref="ED30:ED39">2-EB30</f>
        <v>0.15776916111306272</v>
      </c>
      <c r="EE30" s="22">
        <f aca="true" t="shared" si="238" ref="EE30:EE39">IF(EF30-ED30&lt;0,0,EF30-ED30)</f>
        <v>0.17434489057250846</v>
      </c>
      <c r="EF30" s="22">
        <f t="shared" si="103"/>
        <v>0.3321140516855712</v>
      </c>
      <c r="EG30" s="22">
        <f t="shared" si="104"/>
        <v>0.174890716426702</v>
      </c>
      <c r="EH30" s="22">
        <f t="shared" si="105"/>
        <v>0.001155833843228553</v>
      </c>
      <c r="EI30" s="22">
        <f t="shared" si="106"/>
        <v>1.5511674154979214</v>
      </c>
      <c r="EJ30" s="22">
        <f t="shared" si="107"/>
        <v>0.07968561305168195</v>
      </c>
      <c r="EK30" s="22">
        <f t="shared" si="108"/>
        <v>0.00992175925040927</v>
      </c>
      <c r="EL30" s="22">
        <f t="shared" si="109"/>
        <v>0</v>
      </c>
      <c r="EM30" s="22">
        <f t="shared" si="110"/>
        <v>0.001618281596506251</v>
      </c>
      <c r="EN30" s="15">
        <f aca="true" t="shared" si="239" ref="EN30:EN39">EB30+EC30+EF30+EG30+EH30+EI30+EJ30+EK30+EL30+EM30</f>
        <v>3.994324192168093</v>
      </c>
      <c r="EO30" s="15">
        <f aca="true" t="shared" si="240" ref="EO30:EO39">IF(EK30+ED30-EE30-2*EC30-EM30&gt;0,EK30+ED30-EE30-2*EC30-EM30,0)</f>
        <v>0</v>
      </c>
      <c r="EP30" s="15">
        <f aca="true" t="shared" si="241" ref="EP30:EP39">12-48/EN30</f>
        <v>-0.017051618923778378</v>
      </c>
      <c r="EQ30" s="15">
        <f aca="true" t="shared" si="242" ref="EQ30:EQ39">EK30</f>
        <v>0.00992175925040927</v>
      </c>
      <c r="ER30" s="15">
        <f aca="true" t="shared" si="243" ref="ER30:ER39">EC30</f>
        <v>0.001539681929135618</v>
      </c>
      <c r="ES30" s="15">
        <f aca="true" t="shared" si="244" ref="ES30:ES39">EM30</f>
        <v>0.001618281596506251</v>
      </c>
      <c r="ET30" s="15">
        <f aca="true" t="shared" si="245" ref="ET30:ET39">(EE30-EQ30-ES30)</f>
        <v>0.16280484972559292</v>
      </c>
      <c r="EU30" s="15">
        <f aca="true" t="shared" si="246" ref="EU30:EU39">EJ30</f>
        <v>0.07968561305168195</v>
      </c>
      <c r="EV30" s="15">
        <f aca="true" t="shared" si="247" ref="EV30:EV39">((EG30+EI30+EH30)-ER30-ET30-EU30)/2</f>
        <v>0.7415919105307207</v>
      </c>
      <c r="EW30" s="15">
        <f aca="true" t="shared" si="248" ref="EW30:EW39">EV30*(EI30/(EI30+EG30+EH30))</f>
        <v>0.6660050404934692</v>
      </c>
      <c r="EX30" s="15">
        <f aca="true" t="shared" si="249" ref="EX30:EX39">EU30*(EI30/(EI30+EG30+EH30))</f>
        <v>0.07156364463206193</v>
      </c>
      <c r="EY30" s="59">
        <f t="shared" si="122"/>
        <v>0.6061053929384528</v>
      </c>
      <c r="EZ30" s="15">
        <f t="shared" si="123"/>
        <v>0.07968561305168195</v>
      </c>
      <c r="FA30" s="15">
        <f aca="true" t="shared" si="250" ref="FA30:FA39">(EG30-EO30)/((EG30-EO30)+EI30)</f>
        <v>0.10132376957182312</v>
      </c>
      <c r="FB30" s="15">
        <f aca="true" t="shared" si="251" ref="FB30:FB39">(EI30/(EJ30+EI30-EO30+EG30+EH30+EK30))*(EI30/(EO30+EG30-EO30+EF30+EC30+EM30+EI30))</f>
        <v>0.6424769771622416</v>
      </c>
      <c r="FC30" s="22">
        <f t="shared" si="126"/>
        <v>0.8986762304281769</v>
      </c>
      <c r="FD30" s="22">
        <f t="shared" si="127"/>
        <v>0.7391586346170085</v>
      </c>
      <c r="FE30" s="22">
        <f t="shared" si="128"/>
        <v>0.08333851128484117</v>
      </c>
      <c r="FF30" s="22">
        <f t="shared" si="129"/>
        <v>0.8171094944679254</v>
      </c>
      <c r="FG30" s="22">
        <f t="shared" si="130"/>
        <v>0.09212729938675483</v>
      </c>
      <c r="FH30" s="58">
        <f t="shared" si="131"/>
        <v>0.6039735382635057</v>
      </c>
      <c r="FI30" s="15">
        <f aca="true" t="shared" si="252" ref="FI30:FI39">SUM(EQ30:EV30)</f>
        <v>0.9971620960840467</v>
      </c>
      <c r="FK30" s="1">
        <f t="shared" si="28"/>
        <v>1416</v>
      </c>
      <c r="FL30" s="1">
        <f t="shared" si="133"/>
        <v>19</v>
      </c>
      <c r="FN30" s="1">
        <f t="shared" si="29"/>
        <v>0.524918358431419</v>
      </c>
      <c r="FO30" s="1">
        <f aca="true" t="shared" si="253" ref="FO30:FO39">1616.67+287.935*LN(FN30)+2.933*FL30</f>
        <v>1486.819282879816</v>
      </c>
      <c r="FQ30" s="1">
        <f t="shared" si="30"/>
        <v>1341.0417083959817</v>
      </c>
      <c r="FR30" s="1">
        <f t="shared" si="31"/>
        <v>1239.6242188220242</v>
      </c>
      <c r="FS30" s="1">
        <f t="shared" si="32"/>
        <v>1437.9450338486686</v>
      </c>
      <c r="FT30" s="1">
        <f t="shared" si="33"/>
        <v>1333.7363219800493</v>
      </c>
      <c r="FU30" s="1">
        <f t="shared" si="135"/>
        <v>0.45527141026305906</v>
      </c>
      <c r="FV30" s="1">
        <f aca="true" t="shared" si="254" ref="FV30:FV39">-273.15+(4900/(1.807-LN(FU30)))</f>
        <v>1615.9253958652048</v>
      </c>
      <c r="FW30" s="1">
        <f t="shared" si="34"/>
        <v>1422.6958566008648</v>
      </c>
      <c r="FY30" s="1">
        <f t="shared" si="137"/>
        <v>1393.2568657850238</v>
      </c>
      <c r="FZ30" s="1">
        <f aca="true" t="shared" si="255" ref="FZ30:FZ39">-273.15+(3666/(0.8808-LN(EE30/(0.5*EI30))))</f>
        <v>1271.4822564691444</v>
      </c>
      <c r="GB30" s="1">
        <f t="shared" si="35"/>
        <v>54.43287441163321</v>
      </c>
      <c r="GC30" s="1">
        <f t="shared" si="36"/>
        <v>40.76059165632161</v>
      </c>
      <c r="GE30" s="1">
        <f aca="true" t="shared" si="256" ref="GE30:GE39">26.23-0.02229*FL30</f>
        <v>25.80649</v>
      </c>
      <c r="GF30" s="1">
        <f aca="true" t="shared" si="257" ref="GF30:GF39">32.44-0.08646*FL30</f>
        <v>30.797259999999998</v>
      </c>
      <c r="GG30" s="1">
        <f aca="true" t="shared" si="258" ref="GG30:GG39">28.6-1.749*FL30</f>
        <v>-4.631</v>
      </c>
      <c r="GH30" s="1">
        <f t="shared" si="37"/>
        <v>879.3093247485646</v>
      </c>
      <c r="GI30" s="1">
        <f t="shared" si="38"/>
        <v>1600.644220399627</v>
      </c>
      <c r="GK30" s="1">
        <f t="shared" si="142"/>
        <v>1310.9178538765868</v>
      </c>
      <c r="GL30" s="1">
        <f t="shared" si="202"/>
        <v>1354.9114943978993</v>
      </c>
      <c r="GN30" s="1">
        <f t="shared" si="143"/>
        <v>1399.4056873378659</v>
      </c>
      <c r="GP30" s="1">
        <f t="shared" si="39"/>
        <v>18.305994226412537</v>
      </c>
      <c r="GQ30" s="1">
        <f t="shared" si="144"/>
        <v>-0.6940057735874632</v>
      </c>
      <c r="GR30" s="2">
        <f t="shared" si="40"/>
        <v>19</v>
      </c>
    </row>
    <row r="31" spans="1:200" ht="13.5">
      <c r="A31" s="1" t="s">
        <v>20</v>
      </c>
      <c r="B31" s="1" t="s">
        <v>19</v>
      </c>
      <c r="C31" s="23">
        <v>1.6</v>
      </c>
      <c r="D31" s="2">
        <v>1330</v>
      </c>
      <c r="F31" s="1">
        <v>5215</v>
      </c>
      <c r="G31" s="23">
        <v>52.9</v>
      </c>
      <c r="H31" s="23">
        <v>0.35</v>
      </c>
      <c r="I31" s="23">
        <v>7.4</v>
      </c>
      <c r="J31" s="23">
        <v>5.2</v>
      </c>
      <c r="K31" s="23">
        <v>0.17</v>
      </c>
      <c r="L31" s="23">
        <v>23.1</v>
      </c>
      <c r="M31" s="23">
        <v>11.6</v>
      </c>
      <c r="N31" s="23">
        <v>0.55</v>
      </c>
      <c r="O31" s="23">
        <v>0</v>
      </c>
      <c r="P31" s="23">
        <v>0.12</v>
      </c>
      <c r="R31" s="23">
        <v>54.9</v>
      </c>
      <c r="S31" s="23">
        <v>0.17</v>
      </c>
      <c r="T31" s="23">
        <v>6.22</v>
      </c>
      <c r="U31" s="23">
        <v>6.03</v>
      </c>
      <c r="V31" s="23">
        <v>0.15</v>
      </c>
      <c r="W31" s="23">
        <v>31.7</v>
      </c>
      <c r="X31" s="23">
        <v>2.46</v>
      </c>
      <c r="Y31" s="23">
        <v>0.14</v>
      </c>
      <c r="Z31" s="23">
        <v>0</v>
      </c>
      <c r="AA31" s="23">
        <v>0.1</v>
      </c>
      <c r="AC31" s="50">
        <f t="shared" si="41"/>
        <v>1333.9075840096489</v>
      </c>
      <c r="AD31" s="50">
        <f t="shared" si="0"/>
        <v>15.668972661386219</v>
      </c>
      <c r="AE31" s="69">
        <f t="shared" si="42"/>
        <v>0.8878777085843987</v>
      </c>
      <c r="AF31" s="27">
        <f t="shared" si="1"/>
        <v>1372.2509944647745</v>
      </c>
      <c r="AG31" s="27"/>
      <c r="AH31" s="27">
        <f t="shared" si="2"/>
        <v>1333.9075840096489</v>
      </c>
      <c r="AI31" s="27">
        <f t="shared" si="3"/>
        <v>1339.1205008400113</v>
      </c>
      <c r="AJ31" s="27">
        <f t="shared" si="4"/>
        <v>15.900247156899313</v>
      </c>
      <c r="AK31" s="27">
        <f t="shared" si="5"/>
        <v>15.668972661386219</v>
      </c>
      <c r="AL31" s="27">
        <f t="shared" si="43"/>
        <v>1461.7567721018922</v>
      </c>
      <c r="AM31" s="27">
        <f t="shared" si="44"/>
        <v>1475.02349596775</v>
      </c>
      <c r="AN31" s="29">
        <f t="shared" si="6"/>
        <v>1368.0589767121621</v>
      </c>
      <c r="AO31" s="42">
        <f t="shared" si="7"/>
        <v>1.1834047654943176</v>
      </c>
      <c r="AP31" s="44"/>
      <c r="AQ31" s="1">
        <f t="shared" si="8"/>
        <v>0.15869731482360105</v>
      </c>
      <c r="AS31" s="1">
        <f t="shared" si="45"/>
        <v>0.8804296629901655</v>
      </c>
      <c r="AT31" s="1">
        <f t="shared" si="46"/>
        <v>0.0043816381818454955</v>
      </c>
      <c r="AU31" s="1">
        <f t="shared" si="47"/>
        <v>0.07257676954914134</v>
      </c>
      <c r="AV31" s="1">
        <f t="shared" si="48"/>
        <v>0.07237662569036166</v>
      </c>
      <c r="AW31" s="1">
        <f t="shared" si="49"/>
        <v>0.00239647577092511</v>
      </c>
      <c r="AX31" s="1">
        <f t="shared" si="50"/>
        <v>0.5731384166492989</v>
      </c>
      <c r="AY31" s="1">
        <f t="shared" si="51"/>
        <v>0.20685695128518797</v>
      </c>
      <c r="AZ31" s="1">
        <f t="shared" si="52"/>
        <v>0.0088739877603507</v>
      </c>
      <c r="BA31" s="1">
        <f t="shared" si="53"/>
        <v>0</v>
      </c>
      <c r="BB31" s="1">
        <f t="shared" si="54"/>
        <v>0.0007894830333517107</v>
      </c>
      <c r="BC31" s="1">
        <f t="shared" si="203"/>
        <v>1.8218200109106284</v>
      </c>
      <c r="BE31" s="15">
        <f t="shared" si="204"/>
        <v>1.760859325980331</v>
      </c>
      <c r="BF31" s="15">
        <f t="shared" si="204"/>
        <v>0.008763276363690991</v>
      </c>
      <c r="BG31" s="15">
        <f t="shared" si="205"/>
        <v>0.21773030864742404</v>
      </c>
      <c r="BH31" s="15">
        <f t="shared" si="206"/>
        <v>0.07237662569036166</v>
      </c>
      <c r="BI31" s="15">
        <f t="shared" si="206"/>
        <v>0.00239647577092511</v>
      </c>
      <c r="BJ31" s="15">
        <f t="shared" si="206"/>
        <v>0.5731384166492989</v>
      </c>
      <c r="BK31" s="15">
        <f t="shared" si="207"/>
        <v>0.20685695128518797</v>
      </c>
      <c r="BL31" s="15">
        <f t="shared" si="207"/>
        <v>0.0088739877603507</v>
      </c>
      <c r="BM31" s="15">
        <f t="shared" si="207"/>
        <v>0</v>
      </c>
      <c r="BN31" s="15">
        <f t="shared" si="208"/>
        <v>0.002368449100055132</v>
      </c>
      <c r="BO31" s="15">
        <f t="shared" si="209"/>
        <v>2.853363817247625</v>
      </c>
      <c r="BP31" s="15">
        <f t="shared" si="210"/>
        <v>2.1027812730125817</v>
      </c>
      <c r="BR31" s="22">
        <f t="shared" si="62"/>
        <v>1.8513510075404984</v>
      </c>
      <c r="BS31" s="22">
        <f t="shared" si="63"/>
        <v>0.009213626713901605</v>
      </c>
      <c r="BT31" s="22">
        <f t="shared" si="211"/>
        <v>0.14864899245950158</v>
      </c>
      <c r="BU31" s="22">
        <f t="shared" si="212"/>
        <v>0.1565771512678668</v>
      </c>
      <c r="BV31" s="22">
        <f t="shared" si="66"/>
        <v>0.3052261437273684</v>
      </c>
      <c r="BW31" s="22">
        <f t="shared" si="67"/>
        <v>0.1521922131055338</v>
      </c>
      <c r="BX31" s="22">
        <f t="shared" si="68"/>
        <v>0.005039264372329711</v>
      </c>
      <c r="BY31" s="22">
        <f t="shared" si="69"/>
        <v>1.2051847293742282</v>
      </c>
      <c r="BZ31" s="22">
        <f t="shared" si="70"/>
        <v>0.4349749233549691</v>
      </c>
      <c r="CA31" s="22">
        <f t="shared" si="71"/>
        <v>0.03732011055881663</v>
      </c>
      <c r="CB31" s="22">
        <f t="shared" si="72"/>
        <v>0</v>
      </c>
      <c r="CC31" s="22">
        <f t="shared" si="73"/>
        <v>0.0033202202757862897</v>
      </c>
      <c r="CD31" s="15">
        <f t="shared" si="213"/>
        <v>4.003822239023433</v>
      </c>
      <c r="CE31" s="15">
        <f t="shared" si="214"/>
        <v>0.007644478046861894</v>
      </c>
      <c r="CF31" s="15">
        <f t="shared" si="215"/>
        <v>0.011455770397134302</v>
      </c>
      <c r="CG31" s="15">
        <f t="shared" si="216"/>
        <v>0.03732011055881663</v>
      </c>
      <c r="CH31" s="15">
        <f t="shared" si="217"/>
        <v>0.11925704070905019</v>
      </c>
      <c r="CI31" s="15">
        <f t="shared" si="218"/>
        <v>0.014695975875225697</v>
      </c>
      <c r="CJ31" s="15">
        <f t="shared" si="219"/>
        <v>0.0016601101378931448</v>
      </c>
      <c r="CK31" s="15">
        <f t="shared" si="220"/>
        <v>0.2993617966328001</v>
      </c>
      <c r="CL31" s="15">
        <f t="shared" si="221"/>
        <v>0.5290075729234809</v>
      </c>
      <c r="CM31" s="15">
        <f t="shared" si="222"/>
        <v>0.46795674141589044</v>
      </c>
      <c r="CN31" s="15">
        <f t="shared" si="223"/>
        <v>0.2648135452627158</v>
      </c>
      <c r="CO31" s="15">
        <f t="shared" si="224"/>
        <v>1.0013026068372666</v>
      </c>
      <c r="CP31" s="15">
        <f t="shared" si="225"/>
        <v>0.2993617966328001</v>
      </c>
      <c r="CQ31" s="15"/>
      <c r="CR31" s="1">
        <f t="shared" si="226"/>
        <v>0.8929063804363595</v>
      </c>
      <c r="CS31" s="15">
        <f t="shared" si="227"/>
        <v>0.1445477350586719</v>
      </c>
      <c r="CT31" s="59">
        <f t="shared" si="89"/>
        <v>0.37341215288566554</v>
      </c>
      <c r="CU31" s="22">
        <f t="shared" si="90"/>
        <v>0.3775166838061099</v>
      </c>
      <c r="CV31" s="22">
        <f t="shared" si="228"/>
        <v>0.4745724351048853</v>
      </c>
      <c r="CW31" s="22">
        <f t="shared" si="11"/>
        <v>0.7350802878670782</v>
      </c>
      <c r="CX31" s="22">
        <f t="shared" si="12"/>
        <v>0.08816423582850523</v>
      </c>
      <c r="CY31" s="22">
        <f t="shared" si="13"/>
        <v>0.46669153989557455</v>
      </c>
      <c r="CZ31" s="22">
        <f t="shared" si="14"/>
        <v>0.05597416181830995</v>
      </c>
      <c r="DA31" s="22">
        <f t="shared" si="15"/>
        <v>0.34305575149156897</v>
      </c>
      <c r="DB31" s="22">
        <f t="shared" si="16"/>
        <v>0.43644723797167245</v>
      </c>
      <c r="DC31" s="1">
        <f t="shared" si="17"/>
        <v>0.9137162286986783</v>
      </c>
      <c r="DD31" s="1">
        <f t="shared" si="18"/>
        <v>0.0021282242597535266</v>
      </c>
      <c r="DE31" s="1">
        <f t="shared" si="19"/>
        <v>0.061003717107521505</v>
      </c>
      <c r="DF31" s="1">
        <f t="shared" si="20"/>
        <v>0.08392904863709247</v>
      </c>
      <c r="DG31" s="1">
        <f t="shared" si="21"/>
        <v>0.0021145374449339205</v>
      </c>
      <c r="DH31" s="1">
        <f t="shared" si="22"/>
        <v>0.78651462371354</v>
      </c>
      <c r="DI31" s="1">
        <f t="shared" si="23"/>
        <v>0.04386793966910021</v>
      </c>
      <c r="DJ31" s="1">
        <f t="shared" si="24"/>
        <v>0.002258833248089269</v>
      </c>
      <c r="DK31" s="1">
        <f t="shared" si="25"/>
        <v>0</v>
      </c>
      <c r="DL31" s="1">
        <f t="shared" si="26"/>
        <v>0.0006579025277930924</v>
      </c>
      <c r="DM31" s="1">
        <f t="shared" si="229"/>
        <v>1.8961910553065022</v>
      </c>
      <c r="DO31" s="15">
        <f t="shared" si="230"/>
        <v>1.8274324573973566</v>
      </c>
      <c r="DP31" s="15">
        <f t="shared" si="230"/>
        <v>0.004256448519507053</v>
      </c>
      <c r="DQ31" s="15">
        <f t="shared" si="231"/>
        <v>0.1830111513225645</v>
      </c>
      <c r="DR31" s="15">
        <f t="shared" si="232"/>
        <v>0.08392904863709247</v>
      </c>
      <c r="DS31" s="15">
        <f t="shared" si="232"/>
        <v>0.0021145374449339205</v>
      </c>
      <c r="DT31" s="15">
        <f t="shared" si="232"/>
        <v>0.78651462371354</v>
      </c>
      <c r="DU31" s="15">
        <f t="shared" si="233"/>
        <v>0.04386793966910021</v>
      </c>
      <c r="DV31" s="15">
        <f t="shared" si="233"/>
        <v>0.002258833248089269</v>
      </c>
      <c r="DW31" s="15">
        <f t="shared" si="233"/>
        <v>0</v>
      </c>
      <c r="DX31" s="15">
        <f t="shared" si="234"/>
        <v>0.001973707583379277</v>
      </c>
      <c r="DY31" s="15">
        <f t="shared" si="235"/>
        <v>2.9353587475355636</v>
      </c>
      <c r="DZ31" s="15">
        <f t="shared" si="236"/>
        <v>2.0440431702044646</v>
      </c>
      <c r="EB31" s="22">
        <f t="shared" si="99"/>
        <v>1.867675416776514</v>
      </c>
      <c r="EC31" s="22">
        <f t="shared" si="100"/>
        <v>0.0043501822628126486</v>
      </c>
      <c r="ED31" s="22">
        <f t="shared" si="237"/>
        <v>0.13232458322348606</v>
      </c>
      <c r="EE31" s="22">
        <f t="shared" si="238"/>
        <v>0.1170638793979431</v>
      </c>
      <c r="EF31" s="22">
        <f t="shared" si="103"/>
        <v>0.24938846262142916</v>
      </c>
      <c r="EG31" s="22">
        <f t="shared" si="104"/>
        <v>0.1715545986484072</v>
      </c>
      <c r="EH31" s="22">
        <f t="shared" si="105"/>
        <v>0.004322205822458779</v>
      </c>
      <c r="EI31" s="22">
        <f t="shared" si="106"/>
        <v>1.607669844867596</v>
      </c>
      <c r="EJ31" s="22">
        <f t="shared" si="107"/>
        <v>0.08966796247156578</v>
      </c>
      <c r="EK31" s="22">
        <f t="shared" si="108"/>
        <v>0.009234305346775275</v>
      </c>
      <c r="EL31" s="22">
        <f t="shared" si="109"/>
        <v>0</v>
      </c>
      <c r="EM31" s="22">
        <f t="shared" si="110"/>
        <v>0.0026895623371914466</v>
      </c>
      <c r="EN31" s="15">
        <f t="shared" si="239"/>
        <v>4.0065525411547505</v>
      </c>
      <c r="EO31" s="15">
        <f t="shared" si="240"/>
        <v>0.013105082309501486</v>
      </c>
      <c r="EP31" s="15">
        <f t="shared" si="241"/>
        <v>0.019625474282271682</v>
      </c>
      <c r="EQ31" s="15">
        <f t="shared" si="242"/>
        <v>0.009234305346775275</v>
      </c>
      <c r="ER31" s="15">
        <f t="shared" si="243"/>
        <v>0.0043501822628126486</v>
      </c>
      <c r="ES31" s="15">
        <f t="shared" si="244"/>
        <v>0.0026895623371914466</v>
      </c>
      <c r="ET31" s="15">
        <f t="shared" si="245"/>
        <v>0.10514001171397638</v>
      </c>
      <c r="EU31" s="15">
        <f t="shared" si="246"/>
        <v>0.08966796247156578</v>
      </c>
      <c r="EV31" s="15">
        <f t="shared" si="247"/>
        <v>0.7921942464450535</v>
      </c>
      <c r="EW31" s="15">
        <f t="shared" si="248"/>
        <v>0.7140754079853808</v>
      </c>
      <c r="EX31" s="15">
        <f t="shared" si="249"/>
        <v>0.08082574087407518</v>
      </c>
      <c r="EY31" s="59">
        <f t="shared" si="122"/>
        <v>0.6421215631098639</v>
      </c>
      <c r="EZ31" s="15">
        <f t="shared" si="123"/>
        <v>0.08966796247156578</v>
      </c>
      <c r="FA31" s="15">
        <f t="shared" si="250"/>
        <v>0.08971619915352888</v>
      </c>
      <c r="FB31" s="15">
        <f t="shared" si="251"/>
        <v>0.6792049876692295</v>
      </c>
      <c r="FC31" s="22">
        <f t="shared" si="126"/>
        <v>0.9102838008464711</v>
      </c>
      <c r="FD31" s="22">
        <f t="shared" si="127"/>
        <v>0.7853849381596995</v>
      </c>
      <c r="FE31" s="22">
        <f t="shared" si="128"/>
        <v>0.07740635553285177</v>
      </c>
      <c r="FF31" s="22">
        <f t="shared" si="129"/>
        <v>0.8163202346403475</v>
      </c>
      <c r="FG31" s="22">
        <f t="shared" si="130"/>
        <v>0.08045529171885273</v>
      </c>
      <c r="FH31" s="58">
        <f t="shared" si="131"/>
        <v>0.6411256170015208</v>
      </c>
      <c r="FI31" s="15">
        <f t="shared" si="252"/>
        <v>1.003276270577375</v>
      </c>
      <c r="FK31" s="1">
        <f t="shared" si="28"/>
        <v>1330</v>
      </c>
      <c r="FL31" s="1">
        <f t="shared" si="133"/>
        <v>16</v>
      </c>
      <c r="FN31" s="1">
        <f t="shared" si="29"/>
        <v>0.600882927989878</v>
      </c>
      <c r="FO31" s="1">
        <f t="shared" si="253"/>
        <v>1516.9368223566953</v>
      </c>
      <c r="FQ31" s="1">
        <f t="shared" si="30"/>
        <v>1385.9239869002092</v>
      </c>
      <c r="FR31" s="1">
        <f t="shared" si="31"/>
        <v>1288.9181098525612</v>
      </c>
      <c r="FS31" s="1">
        <f t="shared" si="32"/>
        <v>1566.71173074505</v>
      </c>
      <c r="FT31" s="1">
        <f t="shared" si="33"/>
        <v>1460.6549095211215</v>
      </c>
      <c r="FU31" s="1">
        <f t="shared" si="135"/>
        <v>0.5350835193514896</v>
      </c>
      <c r="FV31" s="1">
        <f t="shared" si="254"/>
        <v>1741.3772631529077</v>
      </c>
      <c r="FW31" s="1">
        <f t="shared" si="34"/>
        <v>1529.7924948265022</v>
      </c>
      <c r="FY31" s="1">
        <f t="shared" si="137"/>
        <v>1461.7567721018922</v>
      </c>
      <c r="FZ31" s="1">
        <f t="shared" si="255"/>
        <v>1032.6500842107675</v>
      </c>
      <c r="GB31" s="1">
        <f t="shared" si="35"/>
        <v>54.75761095558067</v>
      </c>
      <c r="GC31" s="1">
        <f t="shared" si="36"/>
        <v>40.972706611437474</v>
      </c>
      <c r="GE31" s="1">
        <f t="shared" si="256"/>
        <v>25.87336</v>
      </c>
      <c r="GF31" s="1">
        <f t="shared" si="257"/>
        <v>31.056639999999998</v>
      </c>
      <c r="GG31" s="1">
        <f t="shared" si="258"/>
        <v>0.6159999999999997</v>
      </c>
      <c r="GH31" s="1">
        <f t="shared" si="37"/>
        <v>912.9725436475079</v>
      </c>
      <c r="GI31" s="1">
        <f t="shared" si="38"/>
        <v>1580.5389187429514</v>
      </c>
      <c r="GK31" s="1">
        <f t="shared" si="142"/>
        <v>1336.2452026040087</v>
      </c>
      <c r="GL31" s="1">
        <f t="shared" si="202"/>
        <v>1381.2479154243101</v>
      </c>
      <c r="GN31" s="1">
        <f t="shared" si="143"/>
        <v>1475.02349596775</v>
      </c>
      <c r="GP31" s="1">
        <f t="shared" si="39"/>
        <v>15.900247156899313</v>
      </c>
      <c r="GQ31" s="1">
        <f t="shared" si="144"/>
        <v>-0.09975284310068666</v>
      </c>
      <c r="GR31" s="2">
        <f t="shared" si="40"/>
        <v>16</v>
      </c>
    </row>
    <row r="32" spans="1:200" ht="13.5">
      <c r="A32" s="1" t="s">
        <v>20</v>
      </c>
      <c r="B32" s="1" t="s">
        <v>21</v>
      </c>
      <c r="C32" s="23">
        <v>1.6</v>
      </c>
      <c r="D32" s="2">
        <v>1325</v>
      </c>
      <c r="F32" s="1">
        <v>5214</v>
      </c>
      <c r="G32" s="23">
        <v>51.3</v>
      </c>
      <c r="H32" s="23">
        <v>0.53</v>
      </c>
      <c r="I32" s="23">
        <v>9.15</v>
      </c>
      <c r="J32" s="23">
        <v>7.15</v>
      </c>
      <c r="K32" s="23">
        <v>0.19</v>
      </c>
      <c r="L32" s="23">
        <v>20.6</v>
      </c>
      <c r="M32" s="23">
        <v>10.8</v>
      </c>
      <c r="N32" s="23">
        <v>0.93</v>
      </c>
      <c r="O32" s="23">
        <v>0</v>
      </c>
      <c r="P32" s="23">
        <v>0.08</v>
      </c>
      <c r="R32" s="23">
        <v>52.3</v>
      </c>
      <c r="S32" s="23">
        <v>0.38</v>
      </c>
      <c r="T32" s="23">
        <v>8.16</v>
      </c>
      <c r="U32" s="23">
        <v>9.23</v>
      </c>
      <c r="V32" s="23">
        <v>0.15</v>
      </c>
      <c r="W32" s="23">
        <v>20.6</v>
      </c>
      <c r="X32" s="23">
        <v>2.16</v>
      </c>
      <c r="Y32" s="23">
        <v>0.23</v>
      </c>
      <c r="Z32" s="23">
        <v>0</v>
      </c>
      <c r="AA32" s="23">
        <v>0.06</v>
      </c>
      <c r="AC32" s="50">
        <f t="shared" si="41"/>
        <v>1403.3520362785569</v>
      </c>
      <c r="AD32" s="50">
        <f t="shared" si="0"/>
        <v>20.125420113599453</v>
      </c>
      <c r="AE32" s="69">
        <f t="shared" si="42"/>
        <v>0.8370238347510647</v>
      </c>
      <c r="AF32" s="27">
        <f t="shared" si="1"/>
        <v>1268.4355743999236</v>
      </c>
      <c r="AG32" s="27"/>
      <c r="AH32" s="27">
        <f t="shared" si="2"/>
        <v>1403.3520362785569</v>
      </c>
      <c r="AI32" s="27">
        <f t="shared" si="3"/>
        <v>1401.588744688462</v>
      </c>
      <c r="AJ32" s="27">
        <f t="shared" si="4"/>
        <v>15.070688064091957</v>
      </c>
      <c r="AK32" s="27">
        <f t="shared" si="5"/>
        <v>20.125420113599453</v>
      </c>
      <c r="AL32" s="27">
        <f t="shared" si="43"/>
        <v>1350.015002453049</v>
      </c>
      <c r="AM32" s="27">
        <f t="shared" si="44"/>
        <v>1495.640772505497</v>
      </c>
      <c r="AN32" s="29">
        <f t="shared" si="6"/>
        <v>1404.5044935991218</v>
      </c>
      <c r="AO32" s="42">
        <f t="shared" si="7"/>
        <v>0.7746478873239439</v>
      </c>
      <c r="AP32" s="44"/>
      <c r="AQ32" s="1">
        <f t="shared" si="8"/>
        <v>0.1466121592552196</v>
      </c>
      <c r="AS32" s="1">
        <f t="shared" si="45"/>
        <v>0.8538004104233552</v>
      </c>
      <c r="AT32" s="1">
        <f t="shared" si="46"/>
        <v>0.006635052103937466</v>
      </c>
      <c r="AU32" s="1">
        <f t="shared" si="47"/>
        <v>0.0897401947803572</v>
      </c>
      <c r="AV32" s="1">
        <f t="shared" si="48"/>
        <v>0.09951786032424728</v>
      </c>
      <c r="AW32" s="1">
        <f t="shared" si="49"/>
        <v>0.0026784140969162997</v>
      </c>
      <c r="AX32" s="1">
        <f t="shared" si="50"/>
        <v>0.5111104494794613</v>
      </c>
      <c r="AY32" s="1">
        <f t="shared" si="51"/>
        <v>0.1925909546448302</v>
      </c>
      <c r="AZ32" s="1">
        <f t="shared" si="52"/>
        <v>0.015005106576593001</v>
      </c>
      <c r="BA32" s="1">
        <f t="shared" si="53"/>
        <v>0</v>
      </c>
      <c r="BB32" s="1">
        <f t="shared" si="54"/>
        <v>0.0005263220222344739</v>
      </c>
      <c r="BC32" s="1">
        <f t="shared" si="203"/>
        <v>1.7716047644519324</v>
      </c>
      <c r="BE32" s="15">
        <f t="shared" si="204"/>
        <v>1.7076008208467104</v>
      </c>
      <c r="BF32" s="15">
        <f t="shared" si="204"/>
        <v>0.013270104207874932</v>
      </c>
      <c r="BG32" s="15">
        <f t="shared" si="205"/>
        <v>0.2692205843410716</v>
      </c>
      <c r="BH32" s="15">
        <f t="shared" si="206"/>
        <v>0.09951786032424728</v>
      </c>
      <c r="BI32" s="15">
        <f t="shared" si="206"/>
        <v>0.0026784140969162997</v>
      </c>
      <c r="BJ32" s="15">
        <f t="shared" si="206"/>
        <v>0.5111104494794613</v>
      </c>
      <c r="BK32" s="15">
        <f t="shared" si="207"/>
        <v>0.1925909546448302</v>
      </c>
      <c r="BL32" s="15">
        <f t="shared" si="207"/>
        <v>0.015005106576593001</v>
      </c>
      <c r="BM32" s="15">
        <f t="shared" si="207"/>
        <v>0</v>
      </c>
      <c r="BN32" s="15">
        <f t="shared" si="208"/>
        <v>0.0015789660667034217</v>
      </c>
      <c r="BO32" s="15">
        <f t="shared" si="209"/>
        <v>2.8125732605844083</v>
      </c>
      <c r="BP32" s="15">
        <f t="shared" si="210"/>
        <v>2.133277765270831</v>
      </c>
      <c r="BR32" s="22">
        <f t="shared" si="62"/>
        <v>1.8213934315352533</v>
      </c>
      <c r="BS32" s="22">
        <f t="shared" si="63"/>
        <v>0.014154409124743242</v>
      </c>
      <c r="BT32" s="22">
        <f t="shared" si="211"/>
        <v>0.17860656846474665</v>
      </c>
      <c r="BU32" s="22">
        <f t="shared" si="212"/>
        <v>0.20427495588727235</v>
      </c>
      <c r="BV32" s="22">
        <f t="shared" si="66"/>
        <v>0.382881524352019</v>
      </c>
      <c r="BW32" s="22">
        <f t="shared" si="67"/>
        <v>0.21229923867704492</v>
      </c>
      <c r="BX32" s="22">
        <f t="shared" si="68"/>
        <v>0.005713801239139494</v>
      </c>
      <c r="BY32" s="22">
        <f t="shared" si="69"/>
        <v>1.090340557472115</v>
      </c>
      <c r="BZ32" s="22">
        <f t="shared" si="70"/>
        <v>0.4108500013360993</v>
      </c>
      <c r="CA32" s="22">
        <f t="shared" si="71"/>
        <v>0.06402012045072993</v>
      </c>
      <c r="CB32" s="22">
        <f t="shared" si="72"/>
        <v>0</v>
      </c>
      <c r="CC32" s="22">
        <f t="shared" si="73"/>
        <v>0.002245582134810366</v>
      </c>
      <c r="CD32" s="15">
        <f t="shared" si="213"/>
        <v>4.0038986663219545</v>
      </c>
      <c r="CE32" s="15">
        <f t="shared" si="214"/>
        <v>0.007797332643907367</v>
      </c>
      <c r="CF32" s="15">
        <f t="shared" si="215"/>
        <v>0.011684610366632597</v>
      </c>
      <c r="CG32" s="15">
        <f t="shared" si="216"/>
        <v>0.06402012045072993</v>
      </c>
      <c r="CH32" s="15">
        <f t="shared" si="217"/>
        <v>0.14025483543654244</v>
      </c>
      <c r="CI32" s="15">
        <f t="shared" si="218"/>
        <v>0.019175866514102108</v>
      </c>
      <c r="CJ32" s="15">
        <f t="shared" si="219"/>
        <v>0.001122791067405183</v>
      </c>
      <c r="CK32" s="15">
        <f t="shared" si="220"/>
        <v>0.25029650831804956</v>
      </c>
      <c r="CL32" s="15">
        <f t="shared" si="221"/>
        <v>0.5261716439155553</v>
      </c>
      <c r="CM32" s="15">
        <f t="shared" si="222"/>
        <v>0.43849482639717796</v>
      </c>
      <c r="CN32" s="15">
        <f t="shared" si="223"/>
        <v>0.20858920322273616</v>
      </c>
      <c r="CO32" s="15">
        <f t="shared" si="224"/>
        <v>1.0010417657023845</v>
      </c>
      <c r="CP32" s="15">
        <f t="shared" si="225"/>
        <v>0.2502965083180495</v>
      </c>
      <c r="CQ32" s="15"/>
      <c r="CR32" s="1">
        <f t="shared" si="226"/>
        <v>0.8420642573927234</v>
      </c>
      <c r="CS32" s="15">
        <f t="shared" si="227"/>
        <v>0.20450190603313756</v>
      </c>
      <c r="CT32" s="59">
        <f t="shared" si="89"/>
        <v>0.3035186721113994</v>
      </c>
      <c r="CU32" s="22">
        <f t="shared" si="90"/>
        <v>0.36422706012965067</v>
      </c>
      <c r="CV32" s="22">
        <f t="shared" si="228"/>
        <v>0.393443329844986</v>
      </c>
      <c r="CW32" s="22">
        <f t="shared" si="11"/>
        <v>0.6496759167759171</v>
      </c>
      <c r="CX32" s="22">
        <f t="shared" si="12"/>
        <v>0.12185180343334967</v>
      </c>
      <c r="CY32" s="22">
        <f t="shared" si="13"/>
        <v>0.43738171313497937</v>
      </c>
      <c r="CZ32" s="22">
        <f t="shared" si="14"/>
        <v>0.082034363839052</v>
      </c>
      <c r="DA32" s="22">
        <f t="shared" si="15"/>
        <v>0.2841563654619889</v>
      </c>
      <c r="DB32" s="22">
        <f t="shared" si="16"/>
        <v>0.40719956392241885</v>
      </c>
      <c r="DC32" s="1">
        <f t="shared" si="17"/>
        <v>0.8704436932776116</v>
      </c>
      <c r="DD32" s="1">
        <f t="shared" si="18"/>
        <v>0.004757207168860824</v>
      </c>
      <c r="DE32" s="1">
        <f t="shared" si="19"/>
        <v>0.08003059993526937</v>
      </c>
      <c r="DF32" s="1">
        <f t="shared" si="20"/>
        <v>0.12846851060039194</v>
      </c>
      <c r="DG32" s="1">
        <f t="shared" si="21"/>
        <v>0.0021145374449339205</v>
      </c>
      <c r="DH32" s="1">
        <f t="shared" si="22"/>
        <v>0.5111104494794613</v>
      </c>
      <c r="DI32" s="1">
        <f t="shared" si="23"/>
        <v>0.038518190928966044</v>
      </c>
      <c r="DJ32" s="1">
        <f t="shared" si="24"/>
        <v>0.0037109403361466563</v>
      </c>
      <c r="DK32" s="1">
        <f t="shared" si="25"/>
        <v>0</v>
      </c>
      <c r="DL32" s="1">
        <f t="shared" si="26"/>
        <v>0.00039474151667585536</v>
      </c>
      <c r="DM32" s="1">
        <f t="shared" si="229"/>
        <v>1.6395488706883175</v>
      </c>
      <c r="DO32" s="15">
        <f t="shared" si="230"/>
        <v>1.7408873865552232</v>
      </c>
      <c r="DP32" s="15">
        <f t="shared" si="230"/>
        <v>0.009514414337721648</v>
      </c>
      <c r="DQ32" s="15">
        <f t="shared" si="231"/>
        <v>0.2400917998058081</v>
      </c>
      <c r="DR32" s="15">
        <f t="shared" si="232"/>
        <v>0.12846851060039194</v>
      </c>
      <c r="DS32" s="15">
        <f t="shared" si="232"/>
        <v>0.0021145374449339205</v>
      </c>
      <c r="DT32" s="15">
        <f t="shared" si="232"/>
        <v>0.5111104494794613</v>
      </c>
      <c r="DU32" s="15">
        <f t="shared" si="233"/>
        <v>0.038518190928966044</v>
      </c>
      <c r="DV32" s="15">
        <f t="shared" si="233"/>
        <v>0.0037109403361466563</v>
      </c>
      <c r="DW32" s="15">
        <f t="shared" si="233"/>
        <v>0</v>
      </c>
      <c r="DX32" s="15">
        <f t="shared" si="234"/>
        <v>0.001184224550027566</v>
      </c>
      <c r="DY32" s="15">
        <f t="shared" si="235"/>
        <v>2.6756004540386806</v>
      </c>
      <c r="DZ32" s="15">
        <f t="shared" si="236"/>
        <v>2.24248728577666</v>
      </c>
      <c r="EB32" s="22">
        <f t="shared" si="99"/>
        <v>1.9519589151595227</v>
      </c>
      <c r="EC32" s="22">
        <f t="shared" si="100"/>
        <v>0.010667976591975978</v>
      </c>
      <c r="ED32" s="22">
        <f t="shared" si="237"/>
        <v>0.04804108484047731</v>
      </c>
      <c r="EE32" s="22">
        <f t="shared" si="238"/>
        <v>0.31089412081536255</v>
      </c>
      <c r="EF32" s="22">
        <f t="shared" si="103"/>
        <v>0.35893520565583986</v>
      </c>
      <c r="EG32" s="22">
        <f t="shared" si="104"/>
        <v>0.28808900164404294</v>
      </c>
      <c r="EH32" s="22">
        <f t="shared" si="105"/>
        <v>0.004741823335562981</v>
      </c>
      <c r="EI32" s="22">
        <f t="shared" si="106"/>
        <v>1.1461586845852858</v>
      </c>
      <c r="EJ32" s="22">
        <f t="shared" si="107"/>
        <v>0.08637655342932422</v>
      </c>
      <c r="EK32" s="22">
        <f t="shared" si="108"/>
        <v>0.01664347304416928</v>
      </c>
      <c r="EL32" s="22">
        <f t="shared" si="109"/>
        <v>0</v>
      </c>
      <c r="EM32" s="22">
        <f t="shared" si="110"/>
        <v>0.001770405664627602</v>
      </c>
      <c r="EN32" s="15">
        <f t="shared" si="239"/>
        <v>3.8653420391103515</v>
      </c>
      <c r="EO32" s="15">
        <f t="shared" si="240"/>
        <v>0</v>
      </c>
      <c r="EP32" s="15">
        <f t="shared" si="241"/>
        <v>-0.4180472295403117</v>
      </c>
      <c r="EQ32" s="15">
        <f t="shared" si="242"/>
        <v>0.01664347304416928</v>
      </c>
      <c r="ER32" s="15">
        <f t="shared" si="243"/>
        <v>0.010667976591975978</v>
      </c>
      <c r="ES32" s="15">
        <f t="shared" si="244"/>
        <v>0.001770405664627602</v>
      </c>
      <c r="ET32" s="15">
        <f t="shared" si="245"/>
        <v>0.29248024210656565</v>
      </c>
      <c r="EU32" s="15">
        <f t="shared" si="246"/>
        <v>0.08637655342932422</v>
      </c>
      <c r="EV32" s="15">
        <f t="shared" si="247"/>
        <v>0.524732368718513</v>
      </c>
      <c r="EW32" s="15">
        <f t="shared" si="248"/>
        <v>0.41795062263628724</v>
      </c>
      <c r="EX32" s="15">
        <f t="shared" si="249"/>
        <v>0.06879913731094536</v>
      </c>
      <c r="EY32" s="59">
        <f t="shared" si="122"/>
        <v>0.38265894777263676</v>
      </c>
      <c r="EZ32" s="15">
        <f t="shared" si="123"/>
        <v>0.08637655342932422</v>
      </c>
      <c r="FA32" s="15">
        <f t="shared" si="250"/>
        <v>0.2008641913179137</v>
      </c>
      <c r="FB32" s="15">
        <f t="shared" si="251"/>
        <v>0.471819380896712</v>
      </c>
      <c r="FC32" s="22">
        <f t="shared" si="126"/>
        <v>0.7991358086820863</v>
      </c>
      <c r="FD32" s="22">
        <f t="shared" si="127"/>
        <v>0.5407492273664675</v>
      </c>
      <c r="FE32" s="22">
        <f t="shared" si="128"/>
        <v>0.13591826956156636</v>
      </c>
      <c r="FF32" s="22">
        <f t="shared" si="129"/>
        <v>0.7130194556898485</v>
      </c>
      <c r="FG32" s="22">
        <f t="shared" si="130"/>
        <v>0.17921869450109507</v>
      </c>
      <c r="FH32" s="58">
        <f t="shared" si="131"/>
        <v>0.38556471976154477</v>
      </c>
      <c r="FI32" s="15">
        <f t="shared" si="252"/>
        <v>0.9326710195551757</v>
      </c>
      <c r="FK32" s="1">
        <f t="shared" si="28"/>
        <v>1325</v>
      </c>
      <c r="FL32" s="1">
        <f t="shared" si="133"/>
        <v>16</v>
      </c>
      <c r="FN32" s="1">
        <f t="shared" si="29"/>
        <v>0.6354403004060935</v>
      </c>
      <c r="FO32" s="1">
        <f t="shared" si="253"/>
        <v>1533.0375788492115</v>
      </c>
      <c r="FQ32" s="1">
        <f t="shared" si="30"/>
        <v>2467.906474048838</v>
      </c>
      <c r="FR32" s="1">
        <f t="shared" si="31"/>
        <v>2588.8608663401824</v>
      </c>
      <c r="FS32" s="1">
        <f t="shared" si="32"/>
        <v>1025.7367985228555</v>
      </c>
      <c r="FT32" s="1">
        <f t="shared" si="33"/>
        <v>937.3336667891118</v>
      </c>
      <c r="FU32" s="1">
        <f t="shared" si="135"/>
        <v>0.7369874651335512</v>
      </c>
      <c r="FV32" s="1">
        <f t="shared" si="254"/>
        <v>2046.7232136443781</v>
      </c>
      <c r="FW32" s="1">
        <f t="shared" si="34"/>
        <v>1529.0730001016295</v>
      </c>
      <c r="FY32" s="1">
        <f t="shared" si="137"/>
        <v>1350.015002453049</v>
      </c>
      <c r="FZ32" s="1">
        <f t="shared" si="255"/>
        <v>2183.342461825352</v>
      </c>
      <c r="GB32" s="1">
        <f t="shared" si="35"/>
        <v>60.907214722719154</v>
      </c>
      <c r="GC32" s="1">
        <f t="shared" si="36"/>
        <v>44.95047427262287</v>
      </c>
      <c r="GE32" s="1">
        <f t="shared" si="256"/>
        <v>25.87336</v>
      </c>
      <c r="GF32" s="1">
        <f t="shared" si="257"/>
        <v>31.056639999999998</v>
      </c>
      <c r="GG32" s="1">
        <f t="shared" si="258"/>
        <v>0.6159999999999997</v>
      </c>
      <c r="GH32" s="1">
        <f t="shared" si="37"/>
        <v>1442.8837651971035</v>
      </c>
      <c r="GI32" s="1">
        <f t="shared" si="38"/>
        <v>1605.0096193595728</v>
      </c>
      <c r="GK32" s="1">
        <f t="shared" si="142"/>
        <v>1322.2222648613993</v>
      </c>
      <c r="GL32" s="1">
        <f t="shared" si="202"/>
        <v>1391.6281517166167</v>
      </c>
      <c r="GN32" s="1">
        <f t="shared" si="143"/>
        <v>1495.640772505497</v>
      </c>
      <c r="GP32" s="1">
        <f t="shared" si="39"/>
        <v>15.070688064091957</v>
      </c>
      <c r="GQ32" s="1">
        <f t="shared" si="144"/>
        <v>-0.9293119359080428</v>
      </c>
      <c r="GR32" s="2">
        <f t="shared" si="40"/>
        <v>16</v>
      </c>
    </row>
    <row r="33" spans="1:200" ht="13.5">
      <c r="A33" s="1" t="s">
        <v>20</v>
      </c>
      <c r="B33" s="1" t="s">
        <v>22</v>
      </c>
      <c r="C33" s="23">
        <v>1.6</v>
      </c>
      <c r="D33" s="2">
        <v>1340</v>
      </c>
      <c r="F33" s="1">
        <v>5213</v>
      </c>
      <c r="G33" s="23">
        <v>51.5</v>
      </c>
      <c r="H33" s="23">
        <v>0.49</v>
      </c>
      <c r="I33" s="23">
        <v>8.97</v>
      </c>
      <c r="J33" s="23">
        <v>6.53</v>
      </c>
      <c r="K33" s="23">
        <v>0.18</v>
      </c>
      <c r="L33" s="23">
        <v>20.9</v>
      </c>
      <c r="M33" s="23">
        <v>11.1</v>
      </c>
      <c r="N33" s="23">
        <v>0.74</v>
      </c>
      <c r="O33" s="23">
        <v>0</v>
      </c>
      <c r="P33" s="23">
        <v>0.08</v>
      </c>
      <c r="R33" s="23">
        <v>52.6</v>
      </c>
      <c r="S33" s="23">
        <v>0.28</v>
      </c>
      <c r="T33" s="23">
        <v>8.6</v>
      </c>
      <c r="U33" s="23">
        <v>7.91</v>
      </c>
      <c r="V33" s="23">
        <v>0.12</v>
      </c>
      <c r="W33" s="23">
        <v>29.5</v>
      </c>
      <c r="X33" s="23">
        <v>2.11</v>
      </c>
      <c r="Y33" s="23">
        <v>0.15</v>
      </c>
      <c r="Z33" s="23">
        <v>0</v>
      </c>
      <c r="AA33" s="23">
        <v>0</v>
      </c>
      <c r="AC33" s="50">
        <f t="shared" si="41"/>
        <v>1317.3894592329937</v>
      </c>
      <c r="AD33" s="50">
        <f t="shared" si="0"/>
        <v>17.409916180892257</v>
      </c>
      <c r="AE33" s="69">
        <f t="shared" si="42"/>
        <v>0.8508663368650896</v>
      </c>
      <c r="AF33" s="27">
        <f t="shared" si="1"/>
        <v>1338.9142922458832</v>
      </c>
      <c r="AG33" s="27"/>
      <c r="AH33" s="27">
        <f t="shared" si="2"/>
        <v>1317.3894592329937</v>
      </c>
      <c r="AI33" s="27">
        <f t="shared" si="3"/>
        <v>1327.4783827544018</v>
      </c>
      <c r="AJ33" s="27">
        <f t="shared" si="4"/>
        <v>16.92490518648153</v>
      </c>
      <c r="AK33" s="27">
        <f t="shared" si="5"/>
        <v>17.409916180892257</v>
      </c>
      <c r="AL33" s="27">
        <f t="shared" si="43"/>
        <v>1390.491019476979</v>
      </c>
      <c r="AM33" s="27">
        <f t="shared" si="44"/>
        <v>1430.9094091261495</v>
      </c>
      <c r="AN33" s="29">
        <f t="shared" si="6"/>
        <v>1377.0131043393744</v>
      </c>
      <c r="AO33" s="42">
        <f t="shared" si="7"/>
        <v>1.1652320664896354</v>
      </c>
      <c r="AP33" s="44"/>
      <c r="AQ33" s="1">
        <f t="shared" si="8"/>
        <v>0.13494763301622698</v>
      </c>
      <c r="AS33" s="1">
        <f t="shared" si="45"/>
        <v>0.8571290669942064</v>
      </c>
      <c r="AT33" s="1">
        <f t="shared" si="46"/>
        <v>0.006134293454583694</v>
      </c>
      <c r="AU33" s="1">
        <f t="shared" si="47"/>
        <v>0.08797481389943214</v>
      </c>
      <c r="AV33" s="1">
        <f t="shared" si="48"/>
        <v>0.09088833956885801</v>
      </c>
      <c r="AW33" s="1">
        <f t="shared" si="49"/>
        <v>0.002537444933920705</v>
      </c>
      <c r="AX33" s="1">
        <f t="shared" si="50"/>
        <v>0.5185538055398418</v>
      </c>
      <c r="AY33" s="1">
        <f t="shared" si="51"/>
        <v>0.19794070338496436</v>
      </c>
      <c r="AZ33" s="1">
        <f t="shared" si="52"/>
        <v>0.01193954716847185</v>
      </c>
      <c r="BA33" s="1">
        <f t="shared" si="53"/>
        <v>0</v>
      </c>
      <c r="BB33" s="1">
        <f t="shared" si="54"/>
        <v>0.0005263220222344739</v>
      </c>
      <c r="BC33" s="1">
        <f t="shared" si="203"/>
        <v>1.7736243369665132</v>
      </c>
      <c r="BE33" s="15">
        <f t="shared" si="204"/>
        <v>1.7142581339884129</v>
      </c>
      <c r="BF33" s="15">
        <f t="shared" si="204"/>
        <v>0.012268586909167389</v>
      </c>
      <c r="BG33" s="15">
        <f t="shared" si="205"/>
        <v>0.26392444169829643</v>
      </c>
      <c r="BH33" s="15">
        <f t="shared" si="206"/>
        <v>0.09088833956885801</v>
      </c>
      <c r="BI33" s="15">
        <f t="shared" si="206"/>
        <v>0.002537444933920705</v>
      </c>
      <c r="BJ33" s="15">
        <f t="shared" si="206"/>
        <v>0.5185538055398418</v>
      </c>
      <c r="BK33" s="15">
        <f t="shared" si="207"/>
        <v>0.19794070338496436</v>
      </c>
      <c r="BL33" s="15">
        <f t="shared" si="207"/>
        <v>0.01193954716847185</v>
      </c>
      <c r="BM33" s="15">
        <f t="shared" si="207"/>
        <v>0</v>
      </c>
      <c r="BN33" s="15">
        <f t="shared" si="208"/>
        <v>0.0015789660667034217</v>
      </c>
      <c r="BO33" s="15">
        <f t="shared" si="209"/>
        <v>2.813889969258637</v>
      </c>
      <c r="BP33" s="15">
        <f t="shared" si="210"/>
        <v>2.132279536708677</v>
      </c>
      <c r="BR33" s="22">
        <f t="shared" si="62"/>
        <v>1.8276387698699472</v>
      </c>
      <c r="BS33" s="22">
        <f t="shared" si="63"/>
        <v>0.01308002840537479</v>
      </c>
      <c r="BT33" s="22">
        <f t="shared" si="211"/>
        <v>0.17236123013005278</v>
      </c>
      <c r="BU33" s="22">
        <f t="shared" si="212"/>
        <v>0.20281256071697373</v>
      </c>
      <c r="BV33" s="22">
        <f t="shared" si="66"/>
        <v>0.3751737908470265</v>
      </c>
      <c r="BW33" s="22">
        <f t="shared" si="67"/>
        <v>0.1937993465881055</v>
      </c>
      <c r="BX33" s="22">
        <f t="shared" si="68"/>
        <v>0.00541054190812422</v>
      </c>
      <c r="BY33" s="22">
        <f t="shared" si="69"/>
        <v>1.1057016682350151</v>
      </c>
      <c r="BZ33" s="22">
        <f t="shared" si="70"/>
        <v>0.4220649113094815</v>
      </c>
      <c r="CA33" s="22">
        <f t="shared" si="71"/>
        <v>0.050916904209801106</v>
      </c>
      <c r="CB33" s="22">
        <f t="shared" si="72"/>
        <v>0</v>
      </c>
      <c r="CC33" s="22">
        <f t="shared" si="73"/>
        <v>0.002244531355459396</v>
      </c>
      <c r="CD33" s="15">
        <f t="shared" si="213"/>
        <v>3.996030492728335</v>
      </c>
      <c r="CE33" s="15">
        <f t="shared" si="214"/>
        <v>0</v>
      </c>
      <c r="CF33" s="15">
        <f t="shared" si="215"/>
        <v>-0.011920351295280796</v>
      </c>
      <c r="CG33" s="15">
        <f t="shared" si="216"/>
        <v>0.050916904209801106</v>
      </c>
      <c r="CH33" s="15">
        <f t="shared" si="217"/>
        <v>0.15189565650717263</v>
      </c>
      <c r="CI33" s="15">
        <f t="shared" si="218"/>
        <v>0.010232786811440076</v>
      </c>
      <c r="CJ33" s="15">
        <f t="shared" si="219"/>
        <v>0.001122265677729698</v>
      </c>
      <c r="CK33" s="15">
        <f t="shared" si="220"/>
        <v>0.25881420231313906</v>
      </c>
      <c r="CL33" s="15">
        <f t="shared" si="221"/>
        <v>0.5203434062549909</v>
      </c>
      <c r="CM33" s="15">
        <f t="shared" si="222"/>
        <v>0.44090694835476096</v>
      </c>
      <c r="CN33" s="15">
        <f t="shared" si="223"/>
        <v>0.2193032116118284</v>
      </c>
      <c r="CO33" s="15">
        <f t="shared" si="224"/>
        <v>0.9933252217742734</v>
      </c>
      <c r="CP33" s="15">
        <f t="shared" si="225"/>
        <v>0.25881420231313906</v>
      </c>
      <c r="CQ33" s="15"/>
      <c r="CR33" s="1">
        <f t="shared" si="226"/>
        <v>0.8508663368650895</v>
      </c>
      <c r="CS33" s="15">
        <f t="shared" si="227"/>
        <v>0.1937993465881055</v>
      </c>
      <c r="CT33" s="59">
        <f t="shared" si="89"/>
        <v>0.3121679698628875</v>
      </c>
      <c r="CU33" s="22">
        <f t="shared" si="90"/>
        <v>0.3741236366989102</v>
      </c>
      <c r="CV33" s="22">
        <f t="shared" si="228"/>
        <v>0.40689624046158696</v>
      </c>
      <c r="CW33" s="22">
        <f t="shared" si="11"/>
        <v>0.6652608042298384</v>
      </c>
      <c r="CX33" s="22">
        <f t="shared" si="12"/>
        <v>0.1166020752923537</v>
      </c>
      <c r="CY33" s="22">
        <f t="shared" si="13"/>
        <v>0.44381838411657737</v>
      </c>
      <c r="CZ33" s="22">
        <f t="shared" si="14"/>
        <v>0.07778925845601593</v>
      </c>
      <c r="DA33" s="22">
        <f t="shared" si="15"/>
        <v>0.2952549751493816</v>
      </c>
      <c r="DB33" s="22">
        <f t="shared" si="16"/>
        <v>0.4141479577942472</v>
      </c>
      <c r="DC33" s="1">
        <f t="shared" si="17"/>
        <v>0.8754366781338886</v>
      </c>
      <c r="DD33" s="1">
        <f t="shared" si="18"/>
        <v>0.0035053105454763973</v>
      </c>
      <c r="DE33" s="1">
        <f t="shared" si="19"/>
        <v>0.08434597542197507</v>
      </c>
      <c r="DF33" s="1">
        <f t="shared" si="20"/>
        <v>0.1100959825405309</v>
      </c>
      <c r="DG33" s="1">
        <f t="shared" si="21"/>
        <v>0.0016916299559471366</v>
      </c>
      <c r="DH33" s="1">
        <f t="shared" si="22"/>
        <v>0.7319300126040829</v>
      </c>
      <c r="DI33" s="1">
        <f t="shared" si="23"/>
        <v>0.037626566138943676</v>
      </c>
      <c r="DJ33" s="1">
        <f t="shared" si="24"/>
        <v>0.0024201784800956454</v>
      </c>
      <c r="DK33" s="1">
        <f t="shared" si="25"/>
        <v>0</v>
      </c>
      <c r="DL33" s="1">
        <f t="shared" si="26"/>
        <v>0</v>
      </c>
      <c r="DM33" s="1">
        <f t="shared" si="229"/>
        <v>1.8470523338209404</v>
      </c>
      <c r="DO33" s="15">
        <f t="shared" si="230"/>
        <v>1.7508733562677772</v>
      </c>
      <c r="DP33" s="15">
        <f t="shared" si="230"/>
        <v>0.007010621090952795</v>
      </c>
      <c r="DQ33" s="15">
        <f t="shared" si="231"/>
        <v>0.2530379262659252</v>
      </c>
      <c r="DR33" s="15">
        <f t="shared" si="232"/>
        <v>0.1100959825405309</v>
      </c>
      <c r="DS33" s="15">
        <f t="shared" si="232"/>
        <v>0.0016916299559471366</v>
      </c>
      <c r="DT33" s="15">
        <f t="shared" si="232"/>
        <v>0.7319300126040829</v>
      </c>
      <c r="DU33" s="15">
        <f t="shared" si="233"/>
        <v>0.037626566138943676</v>
      </c>
      <c r="DV33" s="15">
        <f t="shared" si="233"/>
        <v>0.0024201784800956454</v>
      </c>
      <c r="DW33" s="15">
        <f t="shared" si="233"/>
        <v>0</v>
      </c>
      <c r="DX33" s="15">
        <f t="shared" si="234"/>
        <v>0</v>
      </c>
      <c r="DY33" s="15">
        <f t="shared" si="235"/>
        <v>2.8946862733442553</v>
      </c>
      <c r="DZ33" s="15">
        <f t="shared" si="236"/>
        <v>2.072763482264401</v>
      </c>
      <c r="EB33" s="22">
        <f t="shared" si="99"/>
        <v>1.8145731774707785</v>
      </c>
      <c r="EC33" s="22">
        <f t="shared" si="100"/>
        <v>0.007265679692659784</v>
      </c>
      <c r="ED33" s="22">
        <f t="shared" si="237"/>
        <v>0.1854268225292215</v>
      </c>
      <c r="EE33" s="22">
        <f t="shared" si="238"/>
        <v>0.16423169293205975</v>
      </c>
      <c r="EF33" s="22">
        <f t="shared" si="103"/>
        <v>0.34965851546128124</v>
      </c>
      <c r="EG33" s="22">
        <f t="shared" si="104"/>
        <v>0.22820293215403153</v>
      </c>
      <c r="EH33" s="22">
        <f t="shared" si="105"/>
        <v>0.003506348798191762</v>
      </c>
      <c r="EI33" s="22">
        <f t="shared" si="106"/>
        <v>1.5171178016990656</v>
      </c>
      <c r="EJ33" s="22">
        <f t="shared" si="107"/>
        <v>0.07799097225580869</v>
      </c>
      <c r="EK33" s="22">
        <f t="shared" si="108"/>
        <v>0.01003291514820883</v>
      </c>
      <c r="EL33" s="22">
        <f t="shared" si="109"/>
        <v>0</v>
      </c>
      <c r="EM33" s="22">
        <f t="shared" si="110"/>
        <v>0</v>
      </c>
      <c r="EN33" s="15">
        <f t="shared" si="239"/>
        <v>4.0083483426800255</v>
      </c>
      <c r="EO33" s="15">
        <f t="shared" si="240"/>
        <v>0.016696685360051013</v>
      </c>
      <c r="EP33" s="15">
        <f t="shared" si="241"/>
        <v>0.024992865788037832</v>
      </c>
      <c r="EQ33" s="15">
        <f t="shared" si="242"/>
        <v>0.01003291514820883</v>
      </c>
      <c r="ER33" s="15">
        <f t="shared" si="243"/>
        <v>0.007265679692659784</v>
      </c>
      <c r="ES33" s="15">
        <f t="shared" si="244"/>
        <v>0</v>
      </c>
      <c r="ET33" s="15">
        <f t="shared" si="245"/>
        <v>0.1541987777838509</v>
      </c>
      <c r="EU33" s="15">
        <f t="shared" si="246"/>
        <v>0.07799097225580869</v>
      </c>
      <c r="EV33" s="15">
        <f t="shared" si="247"/>
        <v>0.7546858264594847</v>
      </c>
      <c r="EW33" s="15">
        <f t="shared" si="248"/>
        <v>0.6546944025339955</v>
      </c>
      <c r="EX33" s="15">
        <f t="shared" si="249"/>
        <v>0.06765762810679109</v>
      </c>
      <c r="EY33" s="59">
        <f t="shared" si="122"/>
        <v>0.57196278896501</v>
      </c>
      <c r="EZ33" s="15">
        <f t="shared" si="123"/>
        <v>0.0779909722558087</v>
      </c>
      <c r="FA33" s="15">
        <f t="shared" si="250"/>
        <v>0.12235526109819209</v>
      </c>
      <c r="FB33" s="15">
        <f t="shared" si="251"/>
        <v>0.6015158739004035</v>
      </c>
      <c r="FC33" s="22">
        <f t="shared" si="126"/>
        <v>0.8776447389018079</v>
      </c>
      <c r="FD33" s="22">
        <f t="shared" si="127"/>
        <v>0.7124772140188923</v>
      </c>
      <c r="FE33" s="22">
        <f t="shared" si="128"/>
        <v>0.09932872799633717</v>
      </c>
      <c r="FF33" s="22">
        <f t="shared" si="129"/>
        <v>0.7973137086484992</v>
      </c>
      <c r="FG33" s="22">
        <f t="shared" si="130"/>
        <v>0.11115605514929155</v>
      </c>
      <c r="FH33" s="58">
        <f t="shared" si="131"/>
        <v>0.5680678498369535</v>
      </c>
      <c r="FI33" s="15">
        <f t="shared" si="252"/>
        <v>1.004174171340013</v>
      </c>
      <c r="FK33" s="1">
        <f t="shared" si="28"/>
        <v>1340</v>
      </c>
      <c r="FL33" s="1">
        <f t="shared" si="133"/>
        <v>16</v>
      </c>
      <c r="FN33" s="1">
        <f t="shared" si="29"/>
        <v>0.6171304686775827</v>
      </c>
      <c r="FO33" s="1">
        <f t="shared" si="253"/>
        <v>1524.61902544334</v>
      </c>
      <c r="FQ33" s="1">
        <f t="shared" si="30"/>
        <v>1359.2226521692892</v>
      </c>
      <c r="FR33" s="1">
        <f t="shared" si="31"/>
        <v>1256.0930691593373</v>
      </c>
      <c r="FS33" s="1">
        <f t="shared" si="32"/>
        <v>1483.3681306189692</v>
      </c>
      <c r="FT33" s="1">
        <f t="shared" si="33"/>
        <v>1358.45297100486</v>
      </c>
      <c r="FU33" s="1">
        <f t="shared" si="135"/>
        <v>0.5197530105499291</v>
      </c>
      <c r="FV33" s="1">
        <f t="shared" si="254"/>
        <v>1717.5857172901656</v>
      </c>
      <c r="FW33" s="1">
        <f t="shared" si="34"/>
        <v>1471.5285016449338</v>
      </c>
      <c r="FY33" s="1">
        <f t="shared" si="137"/>
        <v>1390.491019476979</v>
      </c>
      <c r="FZ33" s="1">
        <f t="shared" si="255"/>
        <v>1247.4173169913302</v>
      </c>
      <c r="GB33" s="1">
        <f t="shared" si="35"/>
        <v>67.84292151133546</v>
      </c>
      <c r="GC33" s="1">
        <f t="shared" si="36"/>
        <v>49.34937627741707</v>
      </c>
      <c r="GE33" s="1">
        <f t="shared" si="256"/>
        <v>25.87336</v>
      </c>
      <c r="GF33" s="1">
        <f t="shared" si="257"/>
        <v>31.056639999999998</v>
      </c>
      <c r="GG33" s="1">
        <f t="shared" si="258"/>
        <v>0.6159999999999997</v>
      </c>
      <c r="GH33" s="1">
        <f t="shared" si="37"/>
        <v>860.3031509724805</v>
      </c>
      <c r="GI33" s="1">
        <f t="shared" si="38"/>
        <v>1544.062040529111</v>
      </c>
      <c r="GK33" s="1">
        <f t="shared" si="142"/>
        <v>1285.1447759846155</v>
      </c>
      <c r="GL33" s="1">
        <f t="shared" si="202"/>
        <v>1330.527425826835</v>
      </c>
      <c r="GN33" s="1">
        <f t="shared" si="143"/>
        <v>1430.9094091261495</v>
      </c>
      <c r="GP33" s="1">
        <f t="shared" si="39"/>
        <v>16.92490518648153</v>
      </c>
      <c r="GQ33" s="1">
        <f t="shared" si="144"/>
        <v>0.9249051864815314</v>
      </c>
      <c r="GR33" s="2">
        <f t="shared" si="40"/>
        <v>16</v>
      </c>
    </row>
    <row r="34" spans="1:200" ht="13.5">
      <c r="A34" s="1" t="s">
        <v>23</v>
      </c>
      <c r="B34" s="1" t="s">
        <v>25</v>
      </c>
      <c r="C34" s="23">
        <v>1.5</v>
      </c>
      <c r="D34" s="2">
        <v>1300</v>
      </c>
      <c r="F34" s="1">
        <v>339</v>
      </c>
      <c r="G34" s="23">
        <v>50.93</v>
      </c>
      <c r="H34" s="23">
        <v>0.81</v>
      </c>
      <c r="I34" s="23">
        <v>9.02</v>
      </c>
      <c r="J34" s="23">
        <v>5.82</v>
      </c>
      <c r="K34" s="23">
        <v>0</v>
      </c>
      <c r="L34" s="23">
        <v>18.51</v>
      </c>
      <c r="M34" s="23">
        <v>13.34</v>
      </c>
      <c r="N34" s="23">
        <v>1.23</v>
      </c>
      <c r="O34" s="23">
        <v>0</v>
      </c>
      <c r="P34" s="23">
        <v>0.34</v>
      </c>
      <c r="R34" s="23">
        <v>52.95</v>
      </c>
      <c r="S34" s="23">
        <v>0.52</v>
      </c>
      <c r="T34" s="23">
        <v>7.43</v>
      </c>
      <c r="U34" s="23">
        <v>8.01</v>
      </c>
      <c r="V34" s="23">
        <v>0</v>
      </c>
      <c r="W34" s="23">
        <v>28.72</v>
      </c>
      <c r="X34" s="23">
        <v>1.93</v>
      </c>
      <c r="Y34" s="23">
        <v>0.27</v>
      </c>
      <c r="Z34" s="23">
        <v>0</v>
      </c>
      <c r="AA34" s="23">
        <v>0.16</v>
      </c>
      <c r="AC34" s="50">
        <f t="shared" si="41"/>
        <v>1345.7326571365024</v>
      </c>
      <c r="AD34" s="50">
        <f t="shared" si="0"/>
        <v>17.612514957448653</v>
      </c>
      <c r="AE34" s="69">
        <f t="shared" si="42"/>
        <v>0.8500611479391698</v>
      </c>
      <c r="AF34" s="27">
        <f t="shared" si="1"/>
        <v>1303.0294529686535</v>
      </c>
      <c r="AG34" s="27"/>
      <c r="AH34" s="27">
        <f t="shared" si="2"/>
        <v>1345.7326571365024</v>
      </c>
      <c r="AI34" s="27">
        <f t="shared" si="3"/>
        <v>1359.543583007243</v>
      </c>
      <c r="AJ34" s="27">
        <f t="shared" si="4"/>
        <v>14.793822124416605</v>
      </c>
      <c r="AK34" s="27">
        <f t="shared" si="5"/>
        <v>17.612514957448653</v>
      </c>
      <c r="AL34" s="27">
        <f t="shared" si="43"/>
        <v>1297.0910089382396</v>
      </c>
      <c r="AM34" s="27">
        <f t="shared" si="44"/>
        <v>1316.4139414486676</v>
      </c>
      <c r="AN34" s="29">
        <f t="shared" si="6"/>
        <v>1324.5501912145983</v>
      </c>
      <c r="AO34" s="42">
        <f t="shared" si="7"/>
        <v>1.127375221815518</v>
      </c>
      <c r="AP34" s="44"/>
      <c r="AQ34" s="1">
        <f t="shared" si="8"/>
        <v>0.1480635763928493</v>
      </c>
      <c r="AS34" s="1">
        <f t="shared" si="45"/>
        <v>0.8476423957672803</v>
      </c>
      <c r="AT34" s="1">
        <f t="shared" si="46"/>
        <v>0.010140362649413863</v>
      </c>
      <c r="AU34" s="1">
        <f t="shared" si="47"/>
        <v>0.08846519747746687</v>
      </c>
      <c r="AV34" s="1">
        <f t="shared" si="48"/>
        <v>0.08100614644575094</v>
      </c>
      <c r="AW34" s="1">
        <f t="shared" si="49"/>
        <v>0</v>
      </c>
      <c r="AX34" s="1">
        <f t="shared" si="50"/>
        <v>0.45925506892547713</v>
      </c>
      <c r="AY34" s="1">
        <f t="shared" si="51"/>
        <v>0.23788549397796618</v>
      </c>
      <c r="AZ34" s="1">
        <f t="shared" si="52"/>
        <v>0.01984546353678429</v>
      </c>
      <c r="BA34" s="1">
        <f t="shared" si="53"/>
        <v>0</v>
      </c>
      <c r="BB34" s="1">
        <f t="shared" si="54"/>
        <v>0.002236868594496514</v>
      </c>
      <c r="BC34" s="1">
        <f t="shared" si="203"/>
        <v>1.746476997374636</v>
      </c>
      <c r="BE34" s="15">
        <f aca="true" t="shared" si="259" ref="BE34:BF36">AS34*2</f>
        <v>1.6952847915345606</v>
      </c>
      <c r="BF34" s="15">
        <f t="shared" si="259"/>
        <v>0.020280725298827726</v>
      </c>
      <c r="BG34" s="15">
        <f t="shared" si="205"/>
        <v>0.26539559243240063</v>
      </c>
      <c r="BH34" s="15">
        <f t="shared" si="206"/>
        <v>0.08100614644575094</v>
      </c>
      <c r="BI34" s="15">
        <f t="shared" si="206"/>
        <v>0</v>
      </c>
      <c r="BJ34" s="15">
        <f t="shared" si="206"/>
        <v>0.45925506892547713</v>
      </c>
      <c r="BK34" s="15">
        <f t="shared" si="207"/>
        <v>0.23788549397796618</v>
      </c>
      <c r="BL34" s="15">
        <f t="shared" si="207"/>
        <v>0.01984546353678429</v>
      </c>
      <c r="BM34" s="15">
        <f t="shared" si="207"/>
        <v>0</v>
      </c>
      <c r="BN34" s="15">
        <f t="shared" si="208"/>
        <v>0.006710605783489542</v>
      </c>
      <c r="BO34" s="15">
        <f t="shared" si="209"/>
        <v>2.785663887935257</v>
      </c>
      <c r="BP34" s="15">
        <f t="shared" si="210"/>
        <v>2.153885120881263</v>
      </c>
      <c r="BR34" s="22">
        <f t="shared" si="62"/>
        <v>1.825724344071292</v>
      </c>
      <c r="BS34" s="22">
        <f t="shared" si="63"/>
        <v>0.021841176230912623</v>
      </c>
      <c r="BT34" s="22">
        <f t="shared" si="211"/>
        <v>0.17427565592870797</v>
      </c>
      <c r="BU34" s="22">
        <f t="shared" si="212"/>
        <v>0.20681208919636906</v>
      </c>
      <c r="BV34" s="22">
        <f t="shared" si="66"/>
        <v>0.38108774512507704</v>
      </c>
      <c r="BW34" s="22">
        <f t="shared" si="67"/>
        <v>0.17447793352943156</v>
      </c>
      <c r="BX34" s="22">
        <f t="shared" si="68"/>
        <v>0</v>
      </c>
      <c r="BY34" s="22">
        <f t="shared" si="69"/>
        <v>0.9891826596478841</v>
      </c>
      <c r="BZ34" s="22">
        <f t="shared" si="70"/>
        <v>0.5123780259526307</v>
      </c>
      <c r="CA34" s="22">
        <f t="shared" si="71"/>
        <v>0.08548969725774266</v>
      </c>
      <c r="CB34" s="22">
        <f t="shared" si="72"/>
        <v>0</v>
      </c>
      <c r="CC34" s="22">
        <f t="shared" si="73"/>
        <v>0.00963591596610525</v>
      </c>
      <c r="CD34" s="15">
        <f t="shared" si="213"/>
        <v>3.9998174977810756</v>
      </c>
      <c r="CE34" s="15">
        <f t="shared" si="214"/>
        <v>0</v>
      </c>
      <c r="CF34" s="15">
        <f t="shared" si="215"/>
        <v>-0.0005475316382081985</v>
      </c>
      <c r="CG34" s="15">
        <f t="shared" si="216"/>
        <v>0.08548969725774266</v>
      </c>
      <c r="CH34" s="15">
        <f t="shared" si="217"/>
        <v>0.1213223919386264</v>
      </c>
      <c r="CI34" s="15">
        <f t="shared" si="218"/>
        <v>0.026476631995040786</v>
      </c>
      <c r="CJ34" s="15">
        <f t="shared" si="219"/>
        <v>0.004817957983052625</v>
      </c>
      <c r="CK34" s="15">
        <f t="shared" si="220"/>
        <v>0.3597610440359109</v>
      </c>
      <c r="CL34" s="15">
        <f t="shared" si="221"/>
        <v>0.40194977457070236</v>
      </c>
      <c r="CM34" s="15">
        <f t="shared" si="222"/>
        <v>0.34168188678546174</v>
      </c>
      <c r="CN34" s="15">
        <f t="shared" si="223"/>
        <v>0.3058188860769606</v>
      </c>
      <c r="CO34" s="15">
        <f t="shared" si="224"/>
        <v>0.9998174977810758</v>
      </c>
      <c r="CP34" s="15">
        <f t="shared" si="225"/>
        <v>0.3597610440359109</v>
      </c>
      <c r="CQ34" s="15"/>
      <c r="CR34" s="1">
        <f t="shared" si="226"/>
        <v>0.8500611479391698</v>
      </c>
      <c r="CS34" s="15">
        <f t="shared" si="227"/>
        <v>0.17447793352943156</v>
      </c>
      <c r="CT34" s="59">
        <f t="shared" si="89"/>
        <v>0.2528395570541559</v>
      </c>
      <c r="CU34" s="22">
        <f t="shared" si="90"/>
        <v>0.43432981776125845</v>
      </c>
      <c r="CV34" s="22">
        <f t="shared" si="228"/>
        <v>0.352407408903151</v>
      </c>
      <c r="CW34" s="22">
        <f t="shared" si="11"/>
        <v>0.6475007728624222</v>
      </c>
      <c r="CX34" s="22">
        <f t="shared" si="12"/>
        <v>0.11421004574419086</v>
      </c>
      <c r="CY34" s="22">
        <f t="shared" si="13"/>
        <v>0.34183702483118195</v>
      </c>
      <c r="CZ34" s="22">
        <f t="shared" si="14"/>
        <v>0.06029525195844466</v>
      </c>
      <c r="DA34" s="22">
        <f t="shared" si="15"/>
        <v>0.22133973777118132</v>
      </c>
      <c r="DB34" s="22">
        <f t="shared" si="16"/>
        <v>0.30638189577438285</v>
      </c>
      <c r="DC34" s="1">
        <f t="shared" si="17"/>
        <v>0.8812618271328784</v>
      </c>
      <c r="DD34" s="1">
        <f t="shared" si="18"/>
        <v>0.006509862441599023</v>
      </c>
      <c r="DE34" s="1">
        <f t="shared" si="19"/>
        <v>0.07287099969596218</v>
      </c>
      <c r="DF34" s="1">
        <f t="shared" si="20"/>
        <v>0.11148784072688402</v>
      </c>
      <c r="DG34" s="1">
        <f t="shared" si="21"/>
        <v>0</v>
      </c>
      <c r="DH34" s="1">
        <f t="shared" si="22"/>
        <v>0.7125772868470935</v>
      </c>
      <c r="DI34" s="1">
        <f t="shared" si="23"/>
        <v>0.03441671689486317</v>
      </c>
      <c r="DJ34" s="1">
        <f t="shared" si="24"/>
        <v>0.004356321264172162</v>
      </c>
      <c r="DK34" s="1">
        <f t="shared" si="25"/>
        <v>0</v>
      </c>
      <c r="DL34" s="1">
        <f t="shared" si="26"/>
        <v>0.0010526440444689478</v>
      </c>
      <c r="DM34" s="1">
        <f t="shared" si="229"/>
        <v>1.8245334990479214</v>
      </c>
      <c r="DO34" s="15">
        <f aca="true" t="shared" si="260" ref="DO34:DP36">DC34*2</f>
        <v>1.7625236542657567</v>
      </c>
      <c r="DP34" s="15">
        <f t="shared" si="260"/>
        <v>0.013019724883198046</v>
      </c>
      <c r="DQ34" s="15">
        <f t="shared" si="231"/>
        <v>0.21861299908788656</v>
      </c>
      <c r="DR34" s="15">
        <f t="shared" si="232"/>
        <v>0.11148784072688402</v>
      </c>
      <c r="DS34" s="15">
        <f t="shared" si="232"/>
        <v>0</v>
      </c>
      <c r="DT34" s="15">
        <f t="shared" si="232"/>
        <v>0.7125772868470935</v>
      </c>
      <c r="DU34" s="15">
        <f t="shared" si="233"/>
        <v>0.03441671689486317</v>
      </c>
      <c r="DV34" s="15">
        <f t="shared" si="233"/>
        <v>0.004356321264172162</v>
      </c>
      <c r="DW34" s="15">
        <f t="shared" si="233"/>
        <v>0</v>
      </c>
      <c r="DX34" s="15">
        <f t="shared" si="234"/>
        <v>0.0031579321334068433</v>
      </c>
      <c r="DY34" s="15">
        <f t="shared" si="235"/>
        <v>2.860152476103261</v>
      </c>
      <c r="DZ34" s="15">
        <f t="shared" si="236"/>
        <v>2.097790257732882</v>
      </c>
      <c r="EB34" s="22">
        <f t="shared" si="99"/>
        <v>1.8487024754712313</v>
      </c>
      <c r="EC34" s="22">
        <f t="shared" si="100"/>
        <v>0.013656326009167623</v>
      </c>
      <c r="ED34" s="22">
        <f t="shared" si="237"/>
        <v>0.15129752452876866</v>
      </c>
      <c r="EE34" s="22">
        <f t="shared" si="238"/>
        <v>0.1544386219381219</v>
      </c>
      <c r="EF34" s="22">
        <f t="shared" si="103"/>
        <v>0.30573614646689057</v>
      </c>
      <c r="EG34" s="22">
        <f t="shared" si="104"/>
        <v>0.23387810613253252</v>
      </c>
      <c r="EH34" s="22">
        <f t="shared" si="105"/>
        <v>0</v>
      </c>
      <c r="EI34" s="22">
        <f t="shared" si="106"/>
        <v>1.4948376902295621</v>
      </c>
      <c r="EJ34" s="22">
        <f t="shared" si="107"/>
        <v>0.07219905340519464</v>
      </c>
      <c r="EK34" s="22">
        <f t="shared" si="108"/>
        <v>0.01827729661506991</v>
      </c>
      <c r="EL34" s="22">
        <f t="shared" si="109"/>
        <v>0</v>
      </c>
      <c r="EM34" s="22">
        <f t="shared" si="110"/>
        <v>0.004416452842694994</v>
      </c>
      <c r="EN34" s="15">
        <f t="shared" si="239"/>
        <v>3.9917035471723437</v>
      </c>
      <c r="EO34" s="15">
        <f t="shared" si="240"/>
        <v>0</v>
      </c>
      <c r="EP34" s="15">
        <f t="shared" si="241"/>
        <v>-0.024941089125318783</v>
      </c>
      <c r="EQ34" s="15">
        <f t="shared" si="242"/>
        <v>0.01827729661506991</v>
      </c>
      <c r="ER34" s="15">
        <f t="shared" si="243"/>
        <v>0.013656326009167623</v>
      </c>
      <c r="ES34" s="15">
        <f t="shared" si="244"/>
        <v>0.004416452842694994</v>
      </c>
      <c r="ET34" s="15">
        <f t="shared" si="245"/>
        <v>0.13174487248035702</v>
      </c>
      <c r="EU34" s="15">
        <f t="shared" si="246"/>
        <v>0.07219905340519464</v>
      </c>
      <c r="EV34" s="15">
        <f t="shared" si="247"/>
        <v>0.7555577722336878</v>
      </c>
      <c r="EW34" s="15">
        <f t="shared" si="248"/>
        <v>0.6533382973983245</v>
      </c>
      <c r="EX34" s="15">
        <f t="shared" si="249"/>
        <v>0.06243123737059666</v>
      </c>
      <c r="EY34" s="59">
        <f t="shared" si="122"/>
        <v>0.5642558677992351</v>
      </c>
      <c r="EZ34" s="15">
        <f t="shared" si="123"/>
        <v>0.07219905340519464</v>
      </c>
      <c r="FA34" s="15">
        <f t="shared" si="250"/>
        <v>0.13529008448045945</v>
      </c>
      <c r="FB34" s="15">
        <f t="shared" si="251"/>
        <v>0.5984406827272749</v>
      </c>
      <c r="FC34" s="22">
        <f t="shared" si="126"/>
        <v>0.8647099155195406</v>
      </c>
      <c r="FD34" s="22">
        <f t="shared" si="127"/>
        <v>0.7155375967162754</v>
      </c>
      <c r="FE34" s="22">
        <f t="shared" si="128"/>
        <v>0.11195100249374001</v>
      </c>
      <c r="FF34" s="22">
        <f t="shared" si="129"/>
        <v>0.7864741185370012</v>
      </c>
      <c r="FG34" s="22">
        <f t="shared" si="130"/>
        <v>0.12304953144273421</v>
      </c>
      <c r="FH34" s="58">
        <f t="shared" si="131"/>
        <v>0.5627518006575171</v>
      </c>
      <c r="FI34" s="15">
        <f t="shared" si="252"/>
        <v>0.995851773586172</v>
      </c>
      <c r="FK34" s="1">
        <f t="shared" si="28"/>
        <v>1300</v>
      </c>
      <c r="FL34" s="1">
        <f t="shared" si="133"/>
        <v>15</v>
      </c>
      <c r="FN34" s="1">
        <f t="shared" si="29"/>
        <v>0.502193077883749</v>
      </c>
      <c r="FO34" s="1">
        <f t="shared" si="253"/>
        <v>1462.3438326997837</v>
      </c>
      <c r="FQ34" s="1">
        <f t="shared" si="30"/>
        <v>1212.9444215835153</v>
      </c>
      <c r="FR34" s="1">
        <f t="shared" si="31"/>
        <v>1092.3359749229867</v>
      </c>
      <c r="FS34" s="1">
        <f t="shared" si="32"/>
        <v>1389.3392219407856</v>
      </c>
      <c r="FT34" s="1">
        <f t="shared" si="33"/>
        <v>1232.9277911534723</v>
      </c>
      <c r="FU34" s="1">
        <f t="shared" si="135"/>
        <v>0.39331680060831226</v>
      </c>
      <c r="FV34" s="1">
        <f t="shared" si="254"/>
        <v>1515.0798745544762</v>
      </c>
      <c r="FW34" s="1">
        <f t="shared" si="34"/>
        <v>1378.908336269987</v>
      </c>
      <c r="FY34" s="1">
        <f t="shared" si="137"/>
        <v>1297.0910089382396</v>
      </c>
      <c r="FZ34" s="1">
        <f t="shared" si="255"/>
        <v>1218.5316272944865</v>
      </c>
      <c r="GB34" s="1">
        <f t="shared" si="35"/>
        <v>60.117675556139</v>
      </c>
      <c r="GC34" s="1">
        <f t="shared" si="36"/>
        <v>44.44389435812796</v>
      </c>
      <c r="GE34" s="1">
        <f t="shared" si="256"/>
        <v>25.89565</v>
      </c>
      <c r="GF34" s="1">
        <f t="shared" si="257"/>
        <v>31.143099999999997</v>
      </c>
      <c r="GG34" s="1">
        <f t="shared" si="258"/>
        <v>2.3649999999999984</v>
      </c>
      <c r="GH34" s="1">
        <f t="shared" si="37"/>
        <v>724.7018819932395</v>
      </c>
      <c r="GI34" s="1">
        <f t="shared" si="38"/>
        <v>1444.9686628550444</v>
      </c>
      <c r="GK34" s="1">
        <f t="shared" si="142"/>
        <v>1252.3474529670802</v>
      </c>
      <c r="GL34" s="1">
        <f t="shared" si="202"/>
        <v>1346.4371657357474</v>
      </c>
      <c r="GN34" s="1">
        <f t="shared" si="143"/>
        <v>1316.4139414486676</v>
      </c>
      <c r="GP34" s="1">
        <f t="shared" si="39"/>
        <v>14.793822124416605</v>
      </c>
      <c r="GQ34" s="1">
        <f t="shared" si="144"/>
        <v>-0.2061778755833945</v>
      </c>
      <c r="GR34" s="2">
        <f t="shared" si="40"/>
        <v>15</v>
      </c>
    </row>
    <row r="35" spans="1:200" ht="13.5">
      <c r="A35" s="1" t="s">
        <v>23</v>
      </c>
      <c r="B35" s="1" t="s">
        <v>26</v>
      </c>
      <c r="C35" s="23">
        <v>2</v>
      </c>
      <c r="D35" s="2">
        <v>1400</v>
      </c>
      <c r="F35" s="1">
        <v>336</v>
      </c>
      <c r="G35" s="23">
        <v>51.63</v>
      </c>
      <c r="H35" s="23">
        <v>0.4</v>
      </c>
      <c r="I35" s="23">
        <v>8.59</v>
      </c>
      <c r="J35" s="23">
        <v>6.96</v>
      </c>
      <c r="K35" s="23">
        <v>0</v>
      </c>
      <c r="L35" s="23">
        <v>21.39</v>
      </c>
      <c r="M35" s="23">
        <v>9.76</v>
      </c>
      <c r="N35" s="23">
        <v>0.97</v>
      </c>
      <c r="O35" s="23">
        <v>0</v>
      </c>
      <c r="P35" s="23">
        <v>0.29</v>
      </c>
      <c r="R35" s="23">
        <v>52.92</v>
      </c>
      <c r="S35" s="23">
        <v>0.23</v>
      </c>
      <c r="T35" s="23">
        <v>7.39</v>
      </c>
      <c r="U35" s="23">
        <v>8.21</v>
      </c>
      <c r="V35" s="23">
        <v>0</v>
      </c>
      <c r="W35" s="23">
        <v>28.47</v>
      </c>
      <c r="X35" s="23">
        <v>2.22</v>
      </c>
      <c r="Y35" s="23">
        <v>0.32</v>
      </c>
      <c r="Z35" s="23">
        <v>0</v>
      </c>
      <c r="AA35" s="23">
        <v>0.24</v>
      </c>
      <c r="AC35" s="50">
        <f t="shared" si="41"/>
        <v>1464.5618939506755</v>
      </c>
      <c r="AD35" s="50">
        <f t="shared" si="0"/>
        <v>23.202357573675947</v>
      </c>
      <c r="AE35" s="69">
        <f t="shared" si="42"/>
        <v>0.8456410065426699</v>
      </c>
      <c r="AF35" s="27">
        <f t="shared" si="1"/>
        <v>1354.6050619058701</v>
      </c>
      <c r="AG35" s="27"/>
      <c r="AH35" s="27">
        <f t="shared" si="2"/>
        <v>1464.5618939506755</v>
      </c>
      <c r="AI35" s="27">
        <f t="shared" si="3"/>
        <v>1421.4166655832494</v>
      </c>
      <c r="AJ35" s="27">
        <f t="shared" si="4"/>
        <v>19.412825296910746</v>
      </c>
      <c r="AK35" s="27">
        <f t="shared" si="5"/>
        <v>23.202357573675947</v>
      </c>
      <c r="AL35" s="27">
        <f t="shared" si="43"/>
        <v>1384.4861155651015</v>
      </c>
      <c r="AM35" s="27">
        <f t="shared" si="44"/>
        <v>1450.3696546778292</v>
      </c>
      <c r="AN35" s="29">
        <f t="shared" si="6"/>
        <v>1453.530004833268</v>
      </c>
      <c r="AO35" s="42">
        <f t="shared" si="7"/>
        <v>1.128347224760964</v>
      </c>
      <c r="AP35" s="44"/>
      <c r="AQ35" s="1">
        <f t="shared" si="8"/>
        <v>0.132566153384807</v>
      </c>
      <c r="AS35" s="1">
        <f t="shared" si="45"/>
        <v>0.8592926937652599</v>
      </c>
      <c r="AT35" s="1">
        <f t="shared" si="46"/>
        <v>0.00500758649353771</v>
      </c>
      <c r="AU35" s="1">
        <f t="shared" si="47"/>
        <v>0.08424789870636812</v>
      </c>
      <c r="AV35" s="1">
        <f t="shared" si="48"/>
        <v>0.09687332977017638</v>
      </c>
      <c r="AW35" s="1">
        <f t="shared" si="49"/>
        <v>0</v>
      </c>
      <c r="AX35" s="1">
        <f t="shared" si="50"/>
        <v>0.5307112871051299</v>
      </c>
      <c r="AY35" s="1">
        <f t="shared" si="51"/>
        <v>0.17404515901236506</v>
      </c>
      <c r="AZ35" s="1">
        <f t="shared" si="52"/>
        <v>0.015650487504618504</v>
      </c>
      <c r="BA35" s="1">
        <f t="shared" si="53"/>
        <v>0</v>
      </c>
      <c r="BB35" s="1">
        <f t="shared" si="54"/>
        <v>0.0019079173305999676</v>
      </c>
      <c r="BC35" s="1">
        <f t="shared" si="203"/>
        <v>1.7677363596880555</v>
      </c>
      <c r="BE35" s="15">
        <f t="shared" si="259"/>
        <v>1.7185853875305197</v>
      </c>
      <c r="BF35" s="15">
        <f t="shared" si="259"/>
        <v>0.01001517298707542</v>
      </c>
      <c r="BG35" s="15">
        <f t="shared" si="205"/>
        <v>0.25274369611910436</v>
      </c>
      <c r="BH35" s="15">
        <f t="shared" si="206"/>
        <v>0.09687332977017638</v>
      </c>
      <c r="BI35" s="15">
        <f t="shared" si="206"/>
        <v>0</v>
      </c>
      <c r="BJ35" s="15">
        <f t="shared" si="206"/>
        <v>0.5307112871051299</v>
      </c>
      <c r="BK35" s="15">
        <f t="shared" si="207"/>
        <v>0.17404515901236506</v>
      </c>
      <c r="BL35" s="15">
        <f t="shared" si="207"/>
        <v>0.015650487504618504</v>
      </c>
      <c r="BM35" s="15">
        <f t="shared" si="207"/>
        <v>0</v>
      </c>
      <c r="BN35" s="15">
        <f t="shared" si="208"/>
        <v>0.005723751991799903</v>
      </c>
      <c r="BO35" s="15">
        <f t="shared" si="209"/>
        <v>2.8043482720207895</v>
      </c>
      <c r="BP35" s="15">
        <f t="shared" si="210"/>
        <v>2.1395345435024913</v>
      </c>
      <c r="BR35" s="22">
        <f t="shared" si="62"/>
        <v>1.8384864012900812</v>
      </c>
      <c r="BS35" s="22">
        <f t="shared" si="63"/>
        <v>0.010713904282500446</v>
      </c>
      <c r="BT35" s="22">
        <f t="shared" si="211"/>
        <v>0.16151359870991877</v>
      </c>
      <c r="BU35" s="22">
        <f t="shared" si="212"/>
        <v>0.19898898028962808</v>
      </c>
      <c r="BV35" s="22">
        <f t="shared" si="66"/>
        <v>0.36050257899954685</v>
      </c>
      <c r="BW35" s="22">
        <f t="shared" si="67"/>
        <v>0.20726383538740062</v>
      </c>
      <c r="BX35" s="22">
        <f t="shared" si="68"/>
        <v>0</v>
      </c>
      <c r="BY35" s="22">
        <f t="shared" si="69"/>
        <v>1.1354751313880938</v>
      </c>
      <c r="BZ35" s="22">
        <f t="shared" si="70"/>
        <v>0.372375629836339</v>
      </c>
      <c r="CA35" s="22">
        <f t="shared" si="71"/>
        <v>0.06696951727757079</v>
      </c>
      <c r="CB35" s="22">
        <f t="shared" si="72"/>
        <v>0</v>
      </c>
      <c r="CC35" s="22">
        <f t="shared" si="73"/>
        <v>0.008164110069931388</v>
      </c>
      <c r="CD35" s="15">
        <f t="shared" si="213"/>
        <v>3.999951108531464</v>
      </c>
      <c r="CE35" s="15">
        <f t="shared" si="214"/>
        <v>0</v>
      </c>
      <c r="CF35" s="15">
        <f t="shared" si="215"/>
        <v>-0.00014667619841191026</v>
      </c>
      <c r="CG35" s="15">
        <f t="shared" si="216"/>
        <v>0.06696951727757079</v>
      </c>
      <c r="CH35" s="15">
        <f t="shared" si="217"/>
        <v>0.1320194630120573</v>
      </c>
      <c r="CI35" s="15">
        <f t="shared" si="218"/>
        <v>0.014747067848930734</v>
      </c>
      <c r="CJ35" s="15">
        <f t="shared" si="219"/>
        <v>0.004082055034965694</v>
      </c>
      <c r="CK35" s="15">
        <f t="shared" si="220"/>
        <v>0.22152704394038522</v>
      </c>
      <c r="CL35" s="15">
        <f t="shared" si="221"/>
        <v>0.5606059614175546</v>
      </c>
      <c r="CM35" s="15">
        <f t="shared" si="222"/>
        <v>0.4740713894869621</v>
      </c>
      <c r="CN35" s="15">
        <f t="shared" si="223"/>
        <v>0.18733235241416968</v>
      </c>
      <c r="CO35" s="15">
        <f t="shared" si="224"/>
        <v>0.9999511085314643</v>
      </c>
      <c r="CP35" s="15">
        <f t="shared" si="225"/>
        <v>0.22152704394038525</v>
      </c>
      <c r="CQ35" s="15"/>
      <c r="CR35" s="1">
        <f t="shared" si="226"/>
        <v>0.84564100654267</v>
      </c>
      <c r="CS35" s="15">
        <f t="shared" si="227"/>
        <v>0.20726383538740062</v>
      </c>
      <c r="CT35" s="59">
        <f t="shared" si="89"/>
        <v>0.32634390066053304</v>
      </c>
      <c r="CU35" s="22">
        <f t="shared" si="90"/>
        <v>0.3352576977113866</v>
      </c>
      <c r="CV35" s="22">
        <f t="shared" si="228"/>
        <v>0.42011071224595115</v>
      </c>
      <c r="CW35" s="22">
        <f t="shared" si="11"/>
        <v>0.661403741901132</v>
      </c>
      <c r="CX35" s="22">
        <f t="shared" si="12"/>
        <v>0.1207292634568081</v>
      </c>
      <c r="CY35" s="22">
        <f t="shared" si="13"/>
        <v>0.4741127341176259</v>
      </c>
      <c r="CZ35" s="22">
        <f t="shared" si="14"/>
        <v>0.08654211876846428</v>
      </c>
      <c r="DA35" s="22">
        <f t="shared" si="15"/>
        <v>0.3135799364283743</v>
      </c>
      <c r="DB35" s="22">
        <f t="shared" si="16"/>
        <v>0.43853407629541064</v>
      </c>
      <c r="DC35" s="1">
        <f t="shared" si="17"/>
        <v>0.8807625286472507</v>
      </c>
      <c r="DD35" s="1">
        <f t="shared" si="18"/>
        <v>0.0028793622337841833</v>
      </c>
      <c r="DE35" s="1">
        <f t="shared" si="19"/>
        <v>0.07247869283353439</v>
      </c>
      <c r="DF35" s="1">
        <f t="shared" si="20"/>
        <v>0.11427155709959025</v>
      </c>
      <c r="DG35" s="1">
        <f t="shared" si="21"/>
        <v>0</v>
      </c>
      <c r="DH35" s="1">
        <f t="shared" si="22"/>
        <v>0.7063744901301098</v>
      </c>
      <c r="DI35" s="1">
        <f t="shared" si="23"/>
        <v>0.03958814067699288</v>
      </c>
      <c r="DJ35" s="1">
        <f t="shared" si="24"/>
        <v>0.005163047424204044</v>
      </c>
      <c r="DK35" s="1">
        <f t="shared" si="25"/>
        <v>0</v>
      </c>
      <c r="DL35" s="1">
        <f t="shared" si="26"/>
        <v>0.0015789660667034214</v>
      </c>
      <c r="DM35" s="1">
        <f t="shared" si="229"/>
        <v>1.8230967851121695</v>
      </c>
      <c r="DO35" s="15">
        <f t="shared" si="260"/>
        <v>1.7615250572945014</v>
      </c>
      <c r="DP35" s="15">
        <f t="shared" si="260"/>
        <v>0.005758724467568367</v>
      </c>
      <c r="DQ35" s="15">
        <f t="shared" si="231"/>
        <v>0.21743607850060317</v>
      </c>
      <c r="DR35" s="15">
        <f t="shared" si="232"/>
        <v>0.11427155709959025</v>
      </c>
      <c r="DS35" s="15">
        <f t="shared" si="232"/>
        <v>0</v>
      </c>
      <c r="DT35" s="15">
        <f t="shared" si="232"/>
        <v>0.7063744901301098</v>
      </c>
      <c r="DU35" s="15">
        <f t="shared" si="233"/>
        <v>0.03958814067699288</v>
      </c>
      <c r="DV35" s="15">
        <f t="shared" si="233"/>
        <v>0.005163047424204044</v>
      </c>
      <c r="DW35" s="15">
        <f t="shared" si="233"/>
        <v>0</v>
      </c>
      <c r="DX35" s="15">
        <f t="shared" si="234"/>
        <v>0.004736898200110264</v>
      </c>
      <c r="DY35" s="15">
        <f t="shared" si="235"/>
        <v>2.8548539937936797</v>
      </c>
      <c r="DZ35" s="15">
        <f t="shared" si="236"/>
        <v>2.1016836633480107</v>
      </c>
      <c r="EB35" s="22">
        <f t="shared" si="99"/>
        <v>1.851084217747011</v>
      </c>
      <c r="EC35" s="22">
        <f t="shared" si="100"/>
        <v>0.006051508567605454</v>
      </c>
      <c r="ED35" s="22">
        <f t="shared" si="237"/>
        <v>0.14891578225298896</v>
      </c>
      <c r="EE35" s="22">
        <f t="shared" si="238"/>
        <v>0.15573878708512656</v>
      </c>
      <c r="EF35" s="22">
        <f t="shared" si="103"/>
        <v>0.3046545693381155</v>
      </c>
      <c r="EG35" s="22">
        <f t="shared" si="104"/>
        <v>0.2401626647415482</v>
      </c>
      <c r="EH35" s="22">
        <f t="shared" si="105"/>
        <v>0</v>
      </c>
      <c r="EI35" s="22">
        <f t="shared" si="106"/>
        <v>1.4845757261122323</v>
      </c>
      <c r="EJ35" s="22">
        <f t="shared" si="107"/>
        <v>0.08320174852315879</v>
      </c>
      <c r="EK35" s="22">
        <f t="shared" si="108"/>
        <v>0.021702184849081332</v>
      </c>
      <c r="EL35" s="22">
        <f t="shared" si="109"/>
        <v>0</v>
      </c>
      <c r="EM35" s="22">
        <f t="shared" si="110"/>
        <v>0.0066369743747428924</v>
      </c>
      <c r="EN35" s="15">
        <f t="shared" si="239"/>
        <v>3.9980695942534954</v>
      </c>
      <c r="EO35" s="15">
        <f t="shared" si="240"/>
        <v>0</v>
      </c>
      <c r="EP35" s="15">
        <f t="shared" si="241"/>
        <v>-0.005794013438723766</v>
      </c>
      <c r="EQ35" s="15">
        <f t="shared" si="242"/>
        <v>0.021702184849081332</v>
      </c>
      <c r="ER35" s="15">
        <f t="shared" si="243"/>
        <v>0.006051508567605454</v>
      </c>
      <c r="ES35" s="15">
        <f t="shared" si="244"/>
        <v>0.0066369743747428924</v>
      </c>
      <c r="ET35" s="15">
        <f t="shared" si="245"/>
        <v>0.12739962786130235</v>
      </c>
      <c r="EU35" s="15">
        <f t="shared" si="246"/>
        <v>0.08320174852315879</v>
      </c>
      <c r="EV35" s="15">
        <f t="shared" si="247"/>
        <v>0.754042752950857</v>
      </c>
      <c r="EW35" s="15">
        <f t="shared" si="248"/>
        <v>0.6490454282330568</v>
      </c>
      <c r="EX35" s="15">
        <f t="shared" si="249"/>
        <v>0.0716162502571948</v>
      </c>
      <c r="EY35" s="59">
        <f t="shared" si="122"/>
        <v>0.5526150079977926</v>
      </c>
      <c r="EZ35" s="15">
        <f t="shared" si="123"/>
        <v>0.08320174852315879</v>
      </c>
      <c r="FA35" s="15">
        <f t="shared" si="250"/>
        <v>0.13924585085780042</v>
      </c>
      <c r="FB35" s="15">
        <f t="shared" si="251"/>
        <v>0.5898824204971989</v>
      </c>
      <c r="FC35" s="22">
        <f t="shared" si="126"/>
        <v>0.8607541491421996</v>
      </c>
      <c r="FD35" s="22">
        <f t="shared" si="127"/>
        <v>0.715779677637357</v>
      </c>
      <c r="FE35" s="22">
        <f t="shared" si="128"/>
        <v>0.11579305233516814</v>
      </c>
      <c r="FF35" s="22">
        <f t="shared" si="129"/>
        <v>0.770457653230707</v>
      </c>
      <c r="FG35" s="22">
        <f t="shared" si="130"/>
        <v>0.12463841339705281</v>
      </c>
      <c r="FH35" s="58">
        <f t="shared" si="131"/>
        <v>0.55147793066271</v>
      </c>
      <c r="FI35" s="15">
        <f t="shared" si="252"/>
        <v>0.9990347971267478</v>
      </c>
      <c r="FK35" s="1">
        <f t="shared" si="28"/>
        <v>1400</v>
      </c>
      <c r="FL35" s="1">
        <f t="shared" si="133"/>
        <v>20</v>
      </c>
      <c r="FN35" s="1">
        <f t="shared" si="29"/>
        <v>0.6620313566445949</v>
      </c>
      <c r="FO35" s="1">
        <f t="shared" si="253"/>
        <v>1556.5734097545776</v>
      </c>
      <c r="FQ35" s="1">
        <f t="shared" si="30"/>
        <v>1451.7679305911083</v>
      </c>
      <c r="FR35" s="1">
        <f t="shared" si="31"/>
        <v>1368.611502515771</v>
      </c>
      <c r="FS35" s="1">
        <f t="shared" si="32"/>
        <v>1605.313056033882</v>
      </c>
      <c r="FT35" s="1">
        <f t="shared" si="33"/>
        <v>1475.645728871652</v>
      </c>
      <c r="FU35" s="1">
        <f t="shared" si="135"/>
        <v>0.5686173806657066</v>
      </c>
      <c r="FV35" s="1">
        <f t="shared" si="254"/>
        <v>1793.011429884505</v>
      </c>
      <c r="FW35" s="1">
        <f t="shared" si="34"/>
        <v>1550.2642396385054</v>
      </c>
      <c r="FY35" s="1">
        <f t="shared" si="137"/>
        <v>1384.4861155651015</v>
      </c>
      <c r="FZ35" s="1">
        <f t="shared" si="255"/>
        <v>1227.8590899092464</v>
      </c>
      <c r="GB35" s="1">
        <f t="shared" si="35"/>
        <v>69.40248287604084</v>
      </c>
      <c r="GC35" s="1">
        <f t="shared" si="36"/>
        <v>50.32603882453902</v>
      </c>
      <c r="GE35" s="1">
        <f t="shared" si="256"/>
        <v>25.784200000000002</v>
      </c>
      <c r="GF35" s="1">
        <f t="shared" si="257"/>
        <v>30.7108</v>
      </c>
      <c r="GG35" s="1">
        <f t="shared" si="258"/>
        <v>-6.380000000000003</v>
      </c>
      <c r="GH35" s="1">
        <f t="shared" si="37"/>
        <v>904.2942083050674</v>
      </c>
      <c r="GI35" s="1">
        <f t="shared" si="38"/>
        <v>1764.6448943631449</v>
      </c>
      <c r="GK35" s="1">
        <f t="shared" si="142"/>
        <v>1332.8139711929366</v>
      </c>
      <c r="GL35" s="1">
        <f t="shared" si="202"/>
        <v>1446.3781398706396</v>
      </c>
      <c r="GN35" s="1">
        <f t="shared" si="143"/>
        <v>1450.3696546778292</v>
      </c>
      <c r="GP35" s="1">
        <f t="shared" si="39"/>
        <v>19.412825296910746</v>
      </c>
      <c r="GQ35" s="1">
        <f t="shared" si="144"/>
        <v>-0.5871747030892536</v>
      </c>
      <c r="GR35" s="2">
        <f t="shared" si="40"/>
        <v>20</v>
      </c>
    </row>
    <row r="36" spans="1:200" ht="13.5">
      <c r="A36" s="1" t="s">
        <v>23</v>
      </c>
      <c r="B36" s="1" t="s">
        <v>24</v>
      </c>
      <c r="C36" s="23">
        <v>2</v>
      </c>
      <c r="D36" s="2">
        <v>1350</v>
      </c>
      <c r="F36" s="1">
        <v>335</v>
      </c>
      <c r="G36" s="23">
        <v>51.39</v>
      </c>
      <c r="H36" s="23">
        <v>0.83</v>
      </c>
      <c r="I36" s="23">
        <v>9.38</v>
      </c>
      <c r="J36" s="23">
        <v>7.57</v>
      </c>
      <c r="K36" s="23">
        <v>0</v>
      </c>
      <c r="L36" s="23">
        <v>19.55</v>
      </c>
      <c r="M36" s="23">
        <v>9.49</v>
      </c>
      <c r="N36" s="23">
        <v>1.64</v>
      </c>
      <c r="O36" s="23">
        <v>0</v>
      </c>
      <c r="P36" s="23">
        <v>0.15</v>
      </c>
      <c r="R36" s="23">
        <v>52.41</v>
      </c>
      <c r="S36" s="23">
        <v>0.5</v>
      </c>
      <c r="T36" s="23">
        <v>7.66</v>
      </c>
      <c r="U36" s="23">
        <v>9.67</v>
      </c>
      <c r="V36" s="23">
        <v>0</v>
      </c>
      <c r="W36" s="23">
        <v>27.3</v>
      </c>
      <c r="X36" s="23">
        <v>1.83</v>
      </c>
      <c r="Y36" s="23">
        <v>0.54</v>
      </c>
      <c r="Z36" s="23">
        <v>0</v>
      </c>
      <c r="AA36" s="23">
        <v>0.09</v>
      </c>
      <c r="AC36" s="50">
        <f t="shared" si="41"/>
        <v>1487.2253739942619</v>
      </c>
      <c r="AD36" s="50">
        <f t="shared" si="0"/>
        <v>25.67194659456669</v>
      </c>
      <c r="AE36" s="69">
        <f t="shared" si="42"/>
        <v>0.8215452692480293</v>
      </c>
      <c r="AF36" s="27">
        <f t="shared" si="1"/>
        <v>1331.49752009339</v>
      </c>
      <c r="AG36" s="27"/>
      <c r="AH36" s="27">
        <f t="shared" si="2"/>
        <v>1487.2253739942619</v>
      </c>
      <c r="AI36" s="27">
        <f t="shared" si="3"/>
        <v>1453.5029234532296</v>
      </c>
      <c r="AJ36" s="27">
        <f t="shared" si="4"/>
        <v>22.502017839435986</v>
      </c>
      <c r="AK36" s="27">
        <f t="shared" si="5"/>
        <v>25.67194659456669</v>
      </c>
      <c r="AL36" s="27">
        <f t="shared" si="43"/>
        <v>1314.9090257549974</v>
      </c>
      <c r="AM36" s="27">
        <f t="shared" si="44"/>
        <v>1385.999789114744</v>
      </c>
      <c r="AN36" s="29">
        <f t="shared" si="6"/>
        <v>1458.3379674774362</v>
      </c>
      <c r="AO36" s="42">
        <f t="shared" si="7"/>
        <v>1.0931639235434292</v>
      </c>
      <c r="AP36" s="44"/>
      <c r="AQ36" s="1">
        <f t="shared" si="8"/>
        <v>0.10834398259356191</v>
      </c>
      <c r="AS36" s="1">
        <f t="shared" si="45"/>
        <v>0.8552983058802383</v>
      </c>
      <c r="AT36" s="1">
        <f t="shared" si="46"/>
        <v>0.010390741974090748</v>
      </c>
      <c r="AU36" s="1">
        <f t="shared" si="47"/>
        <v>0.091995959239317</v>
      </c>
      <c r="AV36" s="1">
        <f t="shared" si="48"/>
        <v>0.10536366470693034</v>
      </c>
      <c r="AW36" s="1">
        <f t="shared" si="49"/>
        <v>0</v>
      </c>
      <c r="AX36" s="1">
        <f t="shared" si="50"/>
        <v>0.48505870326812955</v>
      </c>
      <c r="AY36" s="1">
        <f t="shared" si="51"/>
        <v>0.1692303851462443</v>
      </c>
      <c r="AZ36" s="1">
        <f t="shared" si="52"/>
        <v>0.02646061804904572</v>
      </c>
      <c r="BA36" s="1">
        <f t="shared" si="53"/>
        <v>0</v>
      </c>
      <c r="BB36" s="1">
        <f t="shared" si="54"/>
        <v>0.0009868537916896383</v>
      </c>
      <c r="BC36" s="1">
        <f t="shared" si="203"/>
        <v>1.7447852320556854</v>
      </c>
      <c r="BE36" s="15">
        <f t="shared" si="259"/>
        <v>1.7105966117604765</v>
      </c>
      <c r="BF36" s="15">
        <f t="shared" si="259"/>
        <v>0.020781483948181495</v>
      </c>
      <c r="BG36" s="15">
        <f t="shared" si="205"/>
        <v>0.27598787771795097</v>
      </c>
      <c r="BH36" s="15">
        <f t="shared" si="206"/>
        <v>0.10536366470693034</v>
      </c>
      <c r="BI36" s="15">
        <f t="shared" si="206"/>
        <v>0</v>
      </c>
      <c r="BJ36" s="15">
        <f t="shared" si="206"/>
        <v>0.48505870326812955</v>
      </c>
      <c r="BK36" s="15">
        <f t="shared" si="207"/>
        <v>0.1692303851462443</v>
      </c>
      <c r="BL36" s="15">
        <f t="shared" si="207"/>
        <v>0.02646061804904572</v>
      </c>
      <c r="BM36" s="15">
        <f t="shared" si="207"/>
        <v>0</v>
      </c>
      <c r="BN36" s="15">
        <f t="shared" si="208"/>
        <v>0.0029605613750689147</v>
      </c>
      <c r="BO36" s="15">
        <f t="shared" si="209"/>
        <v>2.796439905972028</v>
      </c>
      <c r="BP36" s="15">
        <f t="shared" si="210"/>
        <v>2.1455851732005775</v>
      </c>
      <c r="BR36" s="22">
        <f t="shared" si="62"/>
        <v>1.8351153637602116</v>
      </c>
      <c r="BS36" s="22">
        <f t="shared" si="63"/>
        <v>0.022294221918162008</v>
      </c>
      <c r="BT36" s="22">
        <f t="shared" si="211"/>
        <v>0.16488463623978844</v>
      </c>
      <c r="BU36" s="22">
        <f t="shared" si="212"/>
        <v>0.229885696036698</v>
      </c>
      <c r="BV36" s="22">
        <f t="shared" si="66"/>
        <v>0.39477033227648645</v>
      </c>
      <c r="BW36" s="22">
        <f t="shared" si="67"/>
        <v>0.2260667167892667</v>
      </c>
      <c r="BX36" s="22">
        <f t="shared" si="68"/>
        <v>0</v>
      </c>
      <c r="BY36" s="22">
        <f t="shared" si="69"/>
        <v>1.0407347618639973</v>
      </c>
      <c r="BZ36" s="22">
        <f t="shared" si="70"/>
        <v>0.363098205224805</v>
      </c>
      <c r="CA36" s="22">
        <f t="shared" si="71"/>
        <v>0.11354701951951218</v>
      </c>
      <c r="CB36" s="22">
        <f t="shared" si="72"/>
        <v>0</v>
      </c>
      <c r="CC36" s="22">
        <f t="shared" si="73"/>
        <v>0.004234757727132119</v>
      </c>
      <c r="CD36" s="15">
        <f t="shared" si="213"/>
        <v>3.9998613790795736</v>
      </c>
      <c r="CE36" s="15">
        <f t="shared" si="214"/>
        <v>0</v>
      </c>
      <c r="CF36" s="15">
        <f t="shared" si="215"/>
        <v>-0.0004158771735980338</v>
      </c>
      <c r="CG36" s="15">
        <f t="shared" si="216"/>
        <v>0.11354701951951218</v>
      </c>
      <c r="CH36" s="15">
        <f t="shared" si="217"/>
        <v>0.11633867651718582</v>
      </c>
      <c r="CI36" s="15">
        <f t="shared" si="218"/>
        <v>0.024272979861301308</v>
      </c>
      <c r="CJ36" s="15">
        <f t="shared" si="219"/>
        <v>0.0021173788635660594</v>
      </c>
      <c r="CK36" s="15">
        <f t="shared" si="220"/>
        <v>0.2203691699827518</v>
      </c>
      <c r="CL36" s="15">
        <f t="shared" si="221"/>
        <v>0.523216154335256</v>
      </c>
      <c r="CM36" s="15">
        <f t="shared" si="222"/>
        <v>0.4298457563882763</v>
      </c>
      <c r="CN36" s="15">
        <f t="shared" si="223"/>
        <v>0.18104324908744457</v>
      </c>
      <c r="CO36" s="15">
        <f t="shared" si="224"/>
        <v>0.9998613790795732</v>
      </c>
      <c r="CP36" s="15">
        <f t="shared" si="225"/>
        <v>0.22036916998275183</v>
      </c>
      <c r="CQ36" s="15"/>
      <c r="CR36" s="1">
        <f t="shared" si="226"/>
        <v>0.8215452692480292</v>
      </c>
      <c r="CS36" s="15">
        <f t="shared" si="227"/>
        <v>0.2260667167892667</v>
      </c>
      <c r="CT36" s="59">
        <f t="shared" si="89"/>
        <v>0.27414431421167545</v>
      </c>
      <c r="CU36" s="22">
        <f t="shared" si="90"/>
        <v>0.32710195521380897</v>
      </c>
      <c r="CV36" s="22">
        <f t="shared" si="228"/>
        <v>0.3680213996099055</v>
      </c>
      <c r="CW36" s="22">
        <f t="shared" si="11"/>
        <v>0.6108890054757209</v>
      </c>
      <c r="CX36" s="22">
        <f t="shared" si="12"/>
        <v>0.13269631884228703</v>
      </c>
      <c r="CY36" s="22">
        <f t="shared" si="13"/>
        <v>0.42995963974967166</v>
      </c>
      <c r="CZ36" s="22">
        <f t="shared" si="14"/>
        <v>0.09339513550601107</v>
      </c>
      <c r="DA36" s="22">
        <f t="shared" si="15"/>
        <v>0.26265761672137616</v>
      </c>
      <c r="DB36" s="22">
        <f t="shared" si="16"/>
        <v>0.3892314782125307</v>
      </c>
      <c r="DC36" s="1">
        <f t="shared" si="17"/>
        <v>0.8722744543915798</v>
      </c>
      <c r="DD36" s="1">
        <f t="shared" si="18"/>
        <v>0.0062594831169221375</v>
      </c>
      <c r="DE36" s="1">
        <f t="shared" si="19"/>
        <v>0.07512676415492198</v>
      </c>
      <c r="DF36" s="1">
        <f t="shared" si="20"/>
        <v>0.13459268662034563</v>
      </c>
      <c r="DG36" s="1">
        <f t="shared" si="21"/>
        <v>0</v>
      </c>
      <c r="DH36" s="1">
        <f t="shared" si="22"/>
        <v>0.6773454014946259</v>
      </c>
      <c r="DI36" s="1">
        <f t="shared" si="23"/>
        <v>0.03263346731481845</v>
      </c>
      <c r="DJ36" s="1">
        <f t="shared" si="24"/>
        <v>0.008712642528344324</v>
      </c>
      <c r="DK36" s="1">
        <f t="shared" si="25"/>
        <v>0</v>
      </c>
      <c r="DL36" s="1">
        <f t="shared" si="26"/>
        <v>0.000592112275013783</v>
      </c>
      <c r="DM36" s="1">
        <f t="shared" si="229"/>
        <v>1.8075370118965721</v>
      </c>
      <c r="DO36" s="15">
        <f t="shared" si="260"/>
        <v>1.7445489087831596</v>
      </c>
      <c r="DP36" s="15">
        <f t="shared" si="260"/>
        <v>0.012518966233844275</v>
      </c>
      <c r="DQ36" s="15">
        <f t="shared" si="231"/>
        <v>0.22538029246476593</v>
      </c>
      <c r="DR36" s="15">
        <f t="shared" si="232"/>
        <v>0.13459268662034563</v>
      </c>
      <c r="DS36" s="15">
        <f t="shared" si="232"/>
        <v>0</v>
      </c>
      <c r="DT36" s="15">
        <f t="shared" si="232"/>
        <v>0.6773454014946259</v>
      </c>
      <c r="DU36" s="15">
        <f t="shared" si="233"/>
        <v>0.03263346731481845</v>
      </c>
      <c r="DV36" s="15">
        <f t="shared" si="233"/>
        <v>0.008712642528344324</v>
      </c>
      <c r="DW36" s="15">
        <f t="shared" si="233"/>
        <v>0</v>
      </c>
      <c r="DX36" s="15">
        <f t="shared" si="234"/>
        <v>0.001776336825041349</v>
      </c>
      <c r="DY36" s="15">
        <f t="shared" si="235"/>
        <v>2.8375087022649454</v>
      </c>
      <c r="DZ36" s="15">
        <f t="shared" si="236"/>
        <v>2.1145309599264674</v>
      </c>
      <c r="EB36" s="22">
        <f t="shared" si="99"/>
        <v>1.844451339363963</v>
      </c>
      <c r="EC36" s="22">
        <f t="shared" si="100"/>
        <v>0.013235870843868883</v>
      </c>
      <c r="ED36" s="22">
        <f t="shared" si="237"/>
        <v>0.155548660636037</v>
      </c>
      <c r="EE36" s="22">
        <f t="shared" si="238"/>
        <v>0.162167076813316</v>
      </c>
      <c r="EF36" s="22">
        <f t="shared" si="103"/>
        <v>0.317715737449353</v>
      </c>
      <c r="EG36" s="22">
        <f t="shared" si="104"/>
        <v>0.28460040283840166</v>
      </c>
      <c r="EH36" s="22">
        <f t="shared" si="105"/>
        <v>0</v>
      </c>
      <c r="EI36" s="22">
        <f t="shared" si="106"/>
        <v>1.4322678220242098</v>
      </c>
      <c r="EJ36" s="22">
        <f t="shared" si="107"/>
        <v>0.06900447696693206</v>
      </c>
      <c r="EK36" s="22">
        <f t="shared" si="108"/>
        <v>0.03684630473791218</v>
      </c>
      <c r="EL36" s="22">
        <f t="shared" si="109"/>
        <v>0</v>
      </c>
      <c r="EM36" s="22">
        <f t="shared" si="110"/>
        <v>0.0025040794745382782</v>
      </c>
      <c r="EN36" s="15">
        <f t="shared" si="239"/>
        <v>4.000626033699179</v>
      </c>
      <c r="EO36" s="15">
        <f t="shared" si="240"/>
        <v>0.0012520673983571428</v>
      </c>
      <c r="EP36" s="15">
        <f t="shared" si="241"/>
        <v>0.0018778072048899475</v>
      </c>
      <c r="EQ36" s="15">
        <f t="shared" si="242"/>
        <v>0.03684630473791218</v>
      </c>
      <c r="ER36" s="15">
        <f t="shared" si="243"/>
        <v>0.013235870843868883</v>
      </c>
      <c r="ES36" s="15">
        <f t="shared" si="244"/>
        <v>0.0025040794745382782</v>
      </c>
      <c r="ET36" s="15">
        <f t="shared" si="245"/>
        <v>0.12281669260086554</v>
      </c>
      <c r="EU36" s="15">
        <f t="shared" si="246"/>
        <v>0.06900447696693206</v>
      </c>
      <c r="EV36" s="15">
        <f t="shared" si="247"/>
        <v>0.7559055922254725</v>
      </c>
      <c r="EW36" s="15">
        <f t="shared" si="248"/>
        <v>0.630601254396991</v>
      </c>
      <c r="EX36" s="15">
        <f t="shared" si="249"/>
        <v>0.05756579946213194</v>
      </c>
      <c r="EY36" s="59">
        <f t="shared" si="122"/>
        <v>0.5132159573216484</v>
      </c>
      <c r="EZ36" s="15">
        <f t="shared" si="123"/>
        <v>0.06900447696693206</v>
      </c>
      <c r="FA36" s="15">
        <f t="shared" si="250"/>
        <v>0.1651583509558712</v>
      </c>
      <c r="FB36" s="15">
        <f t="shared" si="251"/>
        <v>0.5492938039547847</v>
      </c>
      <c r="FC36" s="22">
        <f t="shared" si="126"/>
        <v>0.8348416490441287</v>
      </c>
      <c r="FD36" s="22">
        <f t="shared" si="127"/>
        <v>0.6852721751253835</v>
      </c>
      <c r="FE36" s="22">
        <f t="shared" si="128"/>
        <v>0.13556873034453618</v>
      </c>
      <c r="FF36" s="22">
        <f t="shared" si="129"/>
        <v>0.7464730078930465</v>
      </c>
      <c r="FG36" s="22">
        <f t="shared" si="130"/>
        <v>0.1476762104021093</v>
      </c>
      <c r="FH36" s="58">
        <f t="shared" si="131"/>
        <v>0.5115371817912555</v>
      </c>
      <c r="FI36" s="15">
        <f t="shared" si="252"/>
        <v>1.0003130168495895</v>
      </c>
      <c r="FK36" s="1">
        <f t="shared" si="28"/>
        <v>1350</v>
      </c>
      <c r="FL36" s="1">
        <f t="shared" si="133"/>
        <v>20</v>
      </c>
      <c r="FN36" s="1">
        <f t="shared" si="29"/>
        <v>0.6527737408131854</v>
      </c>
      <c r="FO36" s="1">
        <f t="shared" si="253"/>
        <v>1552.5186100415494</v>
      </c>
      <c r="FQ36" s="1">
        <f t="shared" si="30"/>
        <v>1333.857647369071</v>
      </c>
      <c r="FR36" s="1">
        <f t="shared" si="31"/>
        <v>1256.3648728478888</v>
      </c>
      <c r="FS36" s="1">
        <f t="shared" si="32"/>
        <v>1543.4519438746954</v>
      </c>
      <c r="FT36" s="1">
        <f t="shared" si="33"/>
        <v>1371.232303279611</v>
      </c>
      <c r="FU36" s="1">
        <f t="shared" si="135"/>
        <v>0.5134673022235159</v>
      </c>
      <c r="FV36" s="1">
        <f t="shared" si="254"/>
        <v>1707.7933829251028</v>
      </c>
      <c r="FW36" s="1">
        <f t="shared" si="34"/>
        <v>1476.6821153989981</v>
      </c>
      <c r="FY36" s="1">
        <f t="shared" si="137"/>
        <v>1314.9090257549974</v>
      </c>
      <c r="FZ36" s="1">
        <f t="shared" si="255"/>
        <v>1276.2743324152084</v>
      </c>
      <c r="GB36" s="1">
        <f t="shared" si="35"/>
        <v>88.95547074621604</v>
      </c>
      <c r="GC36" s="1">
        <f t="shared" si="36"/>
        <v>62.198009225576655</v>
      </c>
      <c r="GE36" s="1">
        <f t="shared" si="256"/>
        <v>25.784200000000002</v>
      </c>
      <c r="GF36" s="1">
        <f t="shared" si="257"/>
        <v>30.7108</v>
      </c>
      <c r="GG36" s="1">
        <f t="shared" si="258"/>
        <v>-6.380000000000003</v>
      </c>
      <c r="GH36" s="1">
        <f t="shared" si="37"/>
        <v>756.3826767377867</v>
      </c>
      <c r="GI36" s="1">
        <f t="shared" si="38"/>
        <v>1715.0065588407278</v>
      </c>
      <c r="GK36" s="1">
        <f t="shared" si="142"/>
        <v>1266.2878062838759</v>
      </c>
      <c r="GL36" s="1">
        <f t="shared" si="202"/>
        <v>1446.6286983640393</v>
      </c>
      <c r="GN36" s="1">
        <f t="shared" si="143"/>
        <v>1385.999789114744</v>
      </c>
      <c r="GP36" s="1">
        <f t="shared" si="39"/>
        <v>22.502017839435986</v>
      </c>
      <c r="GQ36" s="1">
        <f t="shared" si="144"/>
        <v>2.502017839435986</v>
      </c>
      <c r="GR36" s="2">
        <f t="shared" si="40"/>
        <v>20</v>
      </c>
    </row>
    <row r="37" spans="1:200" ht="13.5">
      <c r="A37" s="1" t="s">
        <v>13</v>
      </c>
      <c r="B37" s="1" t="s">
        <v>14</v>
      </c>
      <c r="C37" s="23">
        <v>1</v>
      </c>
      <c r="D37" s="2">
        <v>1360</v>
      </c>
      <c r="F37" s="1">
        <v>202</v>
      </c>
      <c r="G37" s="23">
        <v>54.68</v>
      </c>
      <c r="H37" s="23">
        <v>0</v>
      </c>
      <c r="I37" s="23">
        <v>2.65</v>
      </c>
      <c r="J37" s="23">
        <v>4.39</v>
      </c>
      <c r="K37" s="23">
        <v>0.12</v>
      </c>
      <c r="L37" s="23">
        <v>26.41</v>
      </c>
      <c r="M37" s="23">
        <v>9.15</v>
      </c>
      <c r="N37" s="23">
        <v>0.09</v>
      </c>
      <c r="O37" s="23">
        <v>0</v>
      </c>
      <c r="P37" s="23">
        <v>1.76</v>
      </c>
      <c r="R37" s="23">
        <v>55.98</v>
      </c>
      <c r="S37" s="23">
        <v>0</v>
      </c>
      <c r="T37" s="23">
        <v>2.33</v>
      </c>
      <c r="U37" s="23">
        <v>4.72</v>
      </c>
      <c r="V37" s="23">
        <v>0.1</v>
      </c>
      <c r="W37" s="23">
        <v>31.83</v>
      </c>
      <c r="X37" s="23">
        <v>2.81</v>
      </c>
      <c r="Y37" s="23">
        <v>0.04</v>
      </c>
      <c r="Z37" s="23">
        <v>0</v>
      </c>
      <c r="AA37" s="23">
        <v>1.57</v>
      </c>
      <c r="AC37" s="50">
        <f t="shared" si="41"/>
        <v>1462.8571826165803</v>
      </c>
      <c r="AD37" s="50">
        <f t="shared" si="0"/>
        <v>15.435279527367912</v>
      </c>
      <c r="AE37" s="69">
        <f t="shared" si="42"/>
        <v>0.9147048119086247</v>
      </c>
      <c r="AF37" s="27">
        <f t="shared" si="1"/>
        <v>1411.665879270021</v>
      </c>
      <c r="AG37" s="27"/>
      <c r="AH37" s="27">
        <f t="shared" si="2"/>
        <v>1462.8571826165803</v>
      </c>
      <c r="AI37" s="27">
        <f t="shared" si="3"/>
        <v>1426.7210719277498</v>
      </c>
      <c r="AJ37" s="27">
        <f t="shared" si="4"/>
        <v>13.478816045929499</v>
      </c>
      <c r="AK37" s="27">
        <f t="shared" si="5"/>
        <v>15.435279527367912</v>
      </c>
      <c r="AL37" s="27">
        <f t="shared" si="43"/>
        <v>1573.9347384790226</v>
      </c>
      <c r="AM37" s="27">
        <f t="shared" si="44"/>
        <v>1608.6438292292733</v>
      </c>
      <c r="AN37" s="29">
        <f t="shared" si="6"/>
        <v>1406.3376442200122</v>
      </c>
      <c r="AO37" s="42">
        <f t="shared" si="7"/>
        <v>1.1209616606447221</v>
      </c>
      <c r="AP37" s="44"/>
      <c r="AQ37" s="1">
        <f t="shared" si="8"/>
        <v>0.16057367821919072</v>
      </c>
      <c r="AS37" s="1">
        <f t="shared" si="45"/>
        <v>0.9100547064707419</v>
      </c>
      <c r="AT37" s="1">
        <f t="shared" si="46"/>
        <v>0</v>
      </c>
      <c r="AU37" s="1">
        <f t="shared" si="47"/>
        <v>0.025990329635841154</v>
      </c>
      <c r="AV37" s="1">
        <f t="shared" si="48"/>
        <v>0.06110257438090147</v>
      </c>
      <c r="AW37" s="1">
        <f t="shared" si="49"/>
        <v>0.0016916299559471366</v>
      </c>
      <c r="AX37" s="1">
        <f t="shared" si="50"/>
        <v>0.6552634451821637</v>
      </c>
      <c r="AY37" s="1">
        <f t="shared" si="51"/>
        <v>0.16316733657409224</v>
      </c>
      <c r="AZ37" s="1">
        <f t="shared" si="52"/>
        <v>0.0014521070880573871</v>
      </c>
      <c r="BA37" s="1">
        <f t="shared" si="53"/>
        <v>0</v>
      </c>
      <c r="BB37" s="1">
        <f t="shared" si="54"/>
        <v>0.011579084489158424</v>
      </c>
      <c r="BC37" s="1">
        <f t="shared" si="203"/>
        <v>1.8303012137769032</v>
      </c>
      <c r="BE37" s="15">
        <f aca="true" t="shared" si="261" ref="BE37:BF39">AS37*2</f>
        <v>1.8201094129414839</v>
      </c>
      <c r="BF37" s="15">
        <f t="shared" si="261"/>
        <v>0</v>
      </c>
      <c r="BG37" s="15">
        <f t="shared" si="205"/>
        <v>0.07797098890752346</v>
      </c>
      <c r="BH37" s="15">
        <f aca="true" t="shared" si="262" ref="BH37:BM39">AV37</f>
        <v>0.06110257438090147</v>
      </c>
      <c r="BI37" s="15">
        <f t="shared" si="262"/>
        <v>0.0016916299559471366</v>
      </c>
      <c r="BJ37" s="15">
        <f t="shared" si="262"/>
        <v>0.6552634451821637</v>
      </c>
      <c r="BK37" s="15">
        <f t="shared" si="262"/>
        <v>0.16316733657409224</v>
      </c>
      <c r="BL37" s="15">
        <f t="shared" si="262"/>
        <v>0.0014521070880573871</v>
      </c>
      <c r="BM37" s="15">
        <f t="shared" si="262"/>
        <v>0</v>
      </c>
      <c r="BN37" s="15">
        <f t="shared" si="208"/>
        <v>0.03473725346747527</v>
      </c>
      <c r="BO37" s="15">
        <f t="shared" si="209"/>
        <v>2.8154947484976445</v>
      </c>
      <c r="BP37" s="15">
        <f t="shared" si="210"/>
        <v>2.131064177335659</v>
      </c>
      <c r="BR37" s="22">
        <f t="shared" si="62"/>
        <v>1.9393849843755162</v>
      </c>
      <c r="BS37" s="22">
        <f t="shared" si="63"/>
        <v>0</v>
      </c>
      <c r="BT37" s="22">
        <f t="shared" si="211"/>
        <v>0.06061501562448379</v>
      </c>
      <c r="BU37" s="22">
        <f t="shared" si="212"/>
        <v>0.05015910526368905</v>
      </c>
      <c r="BV37" s="22">
        <f t="shared" si="66"/>
        <v>0.11077412088817284</v>
      </c>
      <c r="BW37" s="22">
        <f t="shared" si="67"/>
        <v>0.1302135074061267</v>
      </c>
      <c r="BX37" s="22">
        <f t="shared" si="68"/>
        <v>0.0036049720004268414</v>
      </c>
      <c r="BY37" s="22">
        <f t="shared" si="69"/>
        <v>1.3964084547452573</v>
      </c>
      <c r="BZ37" s="22">
        <f t="shared" si="70"/>
        <v>0.3477200658843185</v>
      </c>
      <c r="CA37" s="22">
        <f t="shared" si="71"/>
        <v>0.006189066794028589</v>
      </c>
      <c r="CB37" s="22">
        <f t="shared" si="72"/>
        <v>0</v>
      </c>
      <c r="CC37" s="22">
        <f t="shared" si="73"/>
        <v>0.04935154432237697</v>
      </c>
      <c r="CD37" s="15">
        <f t="shared" si="213"/>
        <v>3.983646716416224</v>
      </c>
      <c r="CE37" s="15">
        <f t="shared" si="214"/>
        <v>0</v>
      </c>
      <c r="CF37" s="15">
        <f t="shared" si="215"/>
        <v>-0.04926124653489694</v>
      </c>
      <c r="CG37" s="15">
        <f t="shared" si="216"/>
        <v>0.006189066794028589</v>
      </c>
      <c r="CH37" s="15">
        <f t="shared" si="217"/>
        <v>0.043970038469660466</v>
      </c>
      <c r="CI37" s="15">
        <f t="shared" si="218"/>
        <v>0.008322488577411663</v>
      </c>
      <c r="CJ37" s="15">
        <f t="shared" si="219"/>
        <v>0.024675772161188485</v>
      </c>
      <c r="CK37" s="15">
        <f t="shared" si="220"/>
        <v>0.2707517666760578</v>
      </c>
      <c r="CL37" s="15">
        <f t="shared" si="221"/>
        <v>0.627935097737663</v>
      </c>
      <c r="CM37" s="15">
        <f t="shared" si="222"/>
        <v>0.5730221184468911</v>
      </c>
      <c r="CN37" s="15">
        <f t="shared" si="223"/>
        <v>0.24707450096820335</v>
      </c>
      <c r="CO37" s="15">
        <f t="shared" si="224"/>
        <v>0.98184423041601</v>
      </c>
      <c r="CP37" s="15">
        <f t="shared" si="225"/>
        <v>0.2707517666760579</v>
      </c>
      <c r="CQ37" s="15"/>
      <c r="CR37" s="1">
        <f t="shared" si="226"/>
        <v>0.9147048119086247</v>
      </c>
      <c r="CS37" s="15">
        <f t="shared" si="227"/>
        <v>0.1302135074061267</v>
      </c>
      <c r="CT37" s="59">
        <f t="shared" si="89"/>
        <v>0.504087677554955</v>
      </c>
      <c r="CU37" s="22">
        <f t="shared" si="90"/>
        <v>0.31023579888047936</v>
      </c>
      <c r="CV37" s="22">
        <f t="shared" si="228"/>
        <v>0.6135678119951243</v>
      </c>
      <c r="CW37" s="22">
        <f t="shared" si="11"/>
        <v>0.8236819418960971</v>
      </c>
      <c r="CX37" s="22">
        <f t="shared" si="12"/>
        <v>0.07680740851783682</v>
      </c>
      <c r="CY37" s="22">
        <f t="shared" si="13"/>
        <v>0.5876849400337464</v>
      </c>
      <c r="CZ37" s="22">
        <f t="shared" si="14"/>
        <v>0.05480095528747961</v>
      </c>
      <c r="DA37" s="22">
        <f t="shared" si="15"/>
        <v>0.4840654726300876</v>
      </c>
      <c r="DB37" s="22">
        <f t="shared" si="16"/>
        <v>0.5923636525970497</v>
      </c>
      <c r="DC37" s="1">
        <f t="shared" si="17"/>
        <v>0.9316909741812752</v>
      </c>
      <c r="DD37" s="1">
        <f t="shared" si="18"/>
        <v>0</v>
      </c>
      <c r="DE37" s="1">
        <f t="shared" si="19"/>
        <v>0.022851874736418826</v>
      </c>
      <c r="DF37" s="1">
        <f t="shared" si="20"/>
        <v>0.06569570639586673</v>
      </c>
      <c r="DG37" s="1">
        <f t="shared" si="21"/>
        <v>0.0014096916299559472</v>
      </c>
      <c r="DH37" s="1">
        <f t="shared" si="22"/>
        <v>0.7897400780063715</v>
      </c>
      <c r="DI37" s="1">
        <f t="shared" si="23"/>
        <v>0.050109313199256746</v>
      </c>
      <c r="DJ37" s="1">
        <f t="shared" si="24"/>
        <v>0.0006453809280255055</v>
      </c>
      <c r="DK37" s="1">
        <f t="shared" si="25"/>
        <v>0</v>
      </c>
      <c r="DL37" s="1">
        <f t="shared" si="26"/>
        <v>0.01032906968635155</v>
      </c>
      <c r="DM37" s="1">
        <f t="shared" si="229"/>
        <v>1.872472088763522</v>
      </c>
      <c r="DO37" s="15">
        <f aca="true" t="shared" si="263" ref="DO37:DP39">DC37*2</f>
        <v>1.8633819483625504</v>
      </c>
      <c r="DP37" s="15">
        <f t="shared" si="263"/>
        <v>0</v>
      </c>
      <c r="DQ37" s="15">
        <f t="shared" si="231"/>
        <v>0.06855562420925648</v>
      </c>
      <c r="DR37" s="15">
        <f aca="true" t="shared" si="264" ref="DR37:DW39">DF37</f>
        <v>0.06569570639586673</v>
      </c>
      <c r="DS37" s="15">
        <f t="shared" si="264"/>
        <v>0.0014096916299559472</v>
      </c>
      <c r="DT37" s="15">
        <f t="shared" si="264"/>
        <v>0.7897400780063715</v>
      </c>
      <c r="DU37" s="15">
        <f t="shared" si="264"/>
        <v>0.050109313199256746</v>
      </c>
      <c r="DV37" s="15">
        <f t="shared" si="264"/>
        <v>0.0006453809280255055</v>
      </c>
      <c r="DW37" s="15">
        <f t="shared" si="264"/>
        <v>0</v>
      </c>
      <c r="DX37" s="15">
        <f t="shared" si="234"/>
        <v>0.03098720905905465</v>
      </c>
      <c r="DY37" s="15">
        <f t="shared" si="235"/>
        <v>2.870524951790338</v>
      </c>
      <c r="DZ37" s="15">
        <f t="shared" si="236"/>
        <v>2.0902100141152986</v>
      </c>
      <c r="EB37" s="22">
        <f t="shared" si="99"/>
        <v>1.9474298042945395</v>
      </c>
      <c r="EC37" s="22">
        <f t="shared" si="100"/>
        <v>0</v>
      </c>
      <c r="ED37" s="22">
        <f t="shared" si="237"/>
        <v>0.05257019570546051</v>
      </c>
      <c r="EE37" s="22">
        <f t="shared" si="238"/>
        <v>0.042960239125281546</v>
      </c>
      <c r="EF37" s="22">
        <f t="shared" si="103"/>
        <v>0.09553043483074206</v>
      </c>
      <c r="EG37" s="22">
        <f t="shared" si="104"/>
        <v>0.13731782339301912</v>
      </c>
      <c r="EH37" s="22">
        <f t="shared" si="105"/>
        <v>0.002946551561748439</v>
      </c>
      <c r="EI37" s="22">
        <f t="shared" si="106"/>
        <v>1.6507226195971147</v>
      </c>
      <c r="EJ37" s="22">
        <f t="shared" si="107"/>
        <v>0.10473898824952636</v>
      </c>
      <c r="EK37" s="22">
        <f t="shared" si="108"/>
        <v>0.0026979633573558726</v>
      </c>
      <c r="EL37" s="22">
        <f t="shared" si="109"/>
        <v>0</v>
      </c>
      <c r="EM37" s="22">
        <f t="shared" si="110"/>
        <v>0.043179849789813554</v>
      </c>
      <c r="EN37" s="15">
        <f t="shared" si="239"/>
        <v>3.98456403507386</v>
      </c>
      <c r="EO37" s="15">
        <f t="shared" si="240"/>
        <v>0</v>
      </c>
      <c r="EP37" s="15">
        <f t="shared" si="241"/>
        <v>-0.04648728881834785</v>
      </c>
      <c r="EQ37" s="15">
        <f t="shared" si="242"/>
        <v>0.0026979633573558726</v>
      </c>
      <c r="ER37" s="15">
        <f t="shared" si="243"/>
        <v>0</v>
      </c>
      <c r="ES37" s="15">
        <f t="shared" si="244"/>
        <v>0.043179849789813554</v>
      </c>
      <c r="ET37" s="15">
        <f t="shared" si="245"/>
        <v>-0.0029175740218878796</v>
      </c>
      <c r="EU37" s="15">
        <f t="shared" si="246"/>
        <v>0.10473898824952636</v>
      </c>
      <c r="EV37" s="15">
        <f t="shared" si="247"/>
        <v>0.8445827901621219</v>
      </c>
      <c r="EW37" s="15">
        <f t="shared" si="248"/>
        <v>0.7784377664852278</v>
      </c>
      <c r="EX37" s="15">
        <f t="shared" si="249"/>
        <v>0.0965361655797334</v>
      </c>
      <c r="EY37" s="59">
        <f t="shared" si="122"/>
        <v>0.6919628619580845</v>
      </c>
      <c r="EZ37" s="15">
        <f t="shared" si="123"/>
        <v>0.10473898824952636</v>
      </c>
      <c r="FA37" s="15">
        <f t="shared" si="250"/>
        <v>0.07679794041089082</v>
      </c>
      <c r="FB37" s="15">
        <f t="shared" si="251"/>
        <v>0.7449540229902005</v>
      </c>
      <c r="FC37" s="22">
        <f t="shared" si="126"/>
        <v>0.9232020595891092</v>
      </c>
      <c r="FD37" s="22">
        <f t="shared" si="127"/>
        <v>0.8436773520895043</v>
      </c>
      <c r="FE37" s="22">
        <f t="shared" si="128"/>
        <v>0.07018255899540052</v>
      </c>
      <c r="FF37" s="22">
        <f t="shared" si="129"/>
        <v>0.8212957821191685</v>
      </c>
      <c r="FG37" s="22">
        <f t="shared" si="130"/>
        <v>0.06832071471220096</v>
      </c>
      <c r="FH37" s="58">
        <f t="shared" si="131"/>
        <v>0.6929086507405787</v>
      </c>
      <c r="FI37" s="15">
        <f t="shared" si="252"/>
        <v>0.9922820175369298</v>
      </c>
      <c r="FK37" s="1">
        <f t="shared" si="28"/>
        <v>1360</v>
      </c>
      <c r="FL37" s="1">
        <f t="shared" si="133"/>
        <v>10</v>
      </c>
      <c r="FN37" s="1">
        <f t="shared" si="29"/>
        <v>0.7227601451281687</v>
      </c>
      <c r="FO37" s="1">
        <f t="shared" si="253"/>
        <v>1552.5138799946787</v>
      </c>
      <c r="FQ37" s="1">
        <f t="shared" si="30"/>
        <v>1442.5294026054598</v>
      </c>
      <c r="FR37" s="1">
        <f t="shared" si="31"/>
        <v>1377.8817656873637</v>
      </c>
      <c r="FS37" s="1">
        <f t="shared" si="32"/>
        <v>1673.5394739970259</v>
      </c>
      <c r="FT37" s="1">
        <f t="shared" si="33"/>
        <v>1582.7975646993953</v>
      </c>
      <c r="FU37" s="1">
        <f t="shared" si="135"/>
        <v>0.698599262850478</v>
      </c>
      <c r="FV37" s="1">
        <f t="shared" si="254"/>
        <v>1989.420888168775</v>
      </c>
      <c r="FW37" s="1">
        <f t="shared" si="34"/>
        <v>1708.0859264603687</v>
      </c>
      <c r="FY37" s="1">
        <f t="shared" si="137"/>
        <v>1573.9347384790226</v>
      </c>
      <c r="FZ37" s="1">
        <f t="shared" si="255"/>
        <v>682.4467539653298</v>
      </c>
      <c r="GB37" s="1">
        <f t="shared" si="35"/>
        <v>53.882839502228634</v>
      </c>
      <c r="GC37" s="1">
        <f t="shared" si="36"/>
        <v>40.40083632736837</v>
      </c>
      <c r="GE37" s="1">
        <f t="shared" si="256"/>
        <v>26.0071</v>
      </c>
      <c r="GF37" s="1">
        <f t="shared" si="257"/>
        <v>31.5754</v>
      </c>
      <c r="GG37" s="1">
        <f t="shared" si="258"/>
        <v>11.11</v>
      </c>
      <c r="GH37" s="1">
        <f t="shared" si="37"/>
        <v>1085.9315538360925</v>
      </c>
      <c r="GI37" s="1">
        <f t="shared" si="38"/>
        <v>1466.7890759966313</v>
      </c>
      <c r="GK37" s="1">
        <f t="shared" si="142"/>
        <v>1358.5984334004588</v>
      </c>
      <c r="GL37" s="1">
        <f t="shared" si="202"/>
        <v>1465.0678318243208</v>
      </c>
      <c r="GN37" s="1">
        <f t="shared" si="143"/>
        <v>1608.6438292292733</v>
      </c>
      <c r="GP37" s="1">
        <f t="shared" si="39"/>
        <v>13.478816045929499</v>
      </c>
      <c r="GQ37" s="1">
        <f t="shared" si="144"/>
        <v>3.4788160459294986</v>
      </c>
      <c r="GR37" s="2">
        <f t="shared" si="40"/>
        <v>10</v>
      </c>
    </row>
    <row r="38" spans="1:200" ht="13.5">
      <c r="A38" s="1" t="s">
        <v>13</v>
      </c>
      <c r="B38" s="1" t="s">
        <v>15</v>
      </c>
      <c r="C38" s="23">
        <v>1</v>
      </c>
      <c r="D38" s="2">
        <v>1270</v>
      </c>
      <c r="F38" s="1">
        <v>200</v>
      </c>
      <c r="G38" s="23">
        <v>52.98</v>
      </c>
      <c r="H38" s="23">
        <v>0.14</v>
      </c>
      <c r="I38" s="23">
        <v>5.04</v>
      </c>
      <c r="J38" s="23">
        <v>3.48</v>
      </c>
      <c r="K38" s="23">
        <v>0.11</v>
      </c>
      <c r="L38" s="23">
        <v>19.61</v>
      </c>
      <c r="M38" s="23">
        <v>17.76</v>
      </c>
      <c r="N38" s="23">
        <v>0.23</v>
      </c>
      <c r="O38" s="23">
        <v>0</v>
      </c>
      <c r="P38" s="23">
        <v>1.36</v>
      </c>
      <c r="R38" s="23">
        <v>56.89</v>
      </c>
      <c r="S38" s="23">
        <v>0.04</v>
      </c>
      <c r="T38" s="23">
        <v>3.19</v>
      </c>
      <c r="U38" s="23">
        <v>5.48</v>
      </c>
      <c r="V38" s="23">
        <v>0.1</v>
      </c>
      <c r="W38" s="23">
        <v>33.72</v>
      </c>
      <c r="X38" s="23">
        <v>1.05</v>
      </c>
      <c r="Y38" s="23">
        <v>0</v>
      </c>
      <c r="Z38" s="23">
        <v>0</v>
      </c>
      <c r="AA38" s="23">
        <v>0.84</v>
      </c>
      <c r="AC38" s="50">
        <f t="shared" si="41"/>
        <v>1178.0096494129518</v>
      </c>
      <c r="AD38" s="50">
        <f t="shared" si="0"/>
        <v>5.366607303175769</v>
      </c>
      <c r="AE38" s="69">
        <f t="shared" si="42"/>
        <v>0.9094614767525522</v>
      </c>
      <c r="AF38" s="27">
        <f t="shared" si="1"/>
        <v>1253.4273401951045</v>
      </c>
      <c r="AG38" s="27"/>
      <c r="AH38" s="27">
        <f t="shared" si="2"/>
        <v>1178.0096494129518</v>
      </c>
      <c r="AI38" s="27">
        <f t="shared" si="3"/>
        <v>1204.3290391938679</v>
      </c>
      <c r="AJ38" s="27">
        <f t="shared" si="4"/>
        <v>10.816913618501887</v>
      </c>
      <c r="AK38" s="27">
        <f t="shared" si="5"/>
        <v>5.366607303175769</v>
      </c>
      <c r="AL38" s="27">
        <f t="shared" si="43"/>
        <v>1308.5661300392221</v>
      </c>
      <c r="AM38" s="27">
        <f t="shared" si="44"/>
        <v>1257.2633318514727</v>
      </c>
      <c r="AN38" s="29">
        <f t="shared" si="6"/>
        <v>1165.2529055073428</v>
      </c>
      <c r="AO38" s="42">
        <f t="shared" si="7"/>
        <v>1.0919648473704386</v>
      </c>
      <c r="AP38" s="44"/>
      <c r="AQ38" s="1">
        <f t="shared" si="8"/>
        <v>0.11906822682739959</v>
      </c>
      <c r="AS38" s="1">
        <f t="shared" si="45"/>
        <v>0.881761125618506</v>
      </c>
      <c r="AT38" s="1">
        <f t="shared" si="46"/>
        <v>0.0017526552727381987</v>
      </c>
      <c r="AU38" s="1">
        <f t="shared" si="47"/>
        <v>0.049430664665901666</v>
      </c>
      <c r="AV38" s="1">
        <f t="shared" si="48"/>
        <v>0.04843666488508819</v>
      </c>
      <c r="AW38" s="1">
        <f t="shared" si="49"/>
        <v>0.0015506607929515418</v>
      </c>
      <c r="AX38" s="1">
        <f t="shared" si="50"/>
        <v>0.48654737448020563</v>
      </c>
      <c r="AY38" s="1">
        <f t="shared" si="51"/>
        <v>0.31670512541594303</v>
      </c>
      <c r="AZ38" s="1">
        <f t="shared" si="52"/>
        <v>0.0037109403361466563</v>
      </c>
      <c r="BA38" s="1">
        <f t="shared" si="53"/>
        <v>0</v>
      </c>
      <c r="BB38" s="1">
        <f t="shared" si="54"/>
        <v>0.008947474377986056</v>
      </c>
      <c r="BC38" s="1">
        <f t="shared" si="203"/>
        <v>1.7988426858454667</v>
      </c>
      <c r="BE38" s="15">
        <f t="shared" si="261"/>
        <v>1.763522251237012</v>
      </c>
      <c r="BF38" s="15">
        <f t="shared" si="261"/>
        <v>0.0035053105454763973</v>
      </c>
      <c r="BG38" s="15">
        <f t="shared" si="205"/>
        <v>0.14829199399770499</v>
      </c>
      <c r="BH38" s="15">
        <f t="shared" si="262"/>
        <v>0.04843666488508819</v>
      </c>
      <c r="BI38" s="15">
        <f t="shared" si="262"/>
        <v>0.0015506607929515418</v>
      </c>
      <c r="BJ38" s="15">
        <f t="shared" si="262"/>
        <v>0.48654737448020563</v>
      </c>
      <c r="BK38" s="15">
        <f t="shared" si="262"/>
        <v>0.31670512541594303</v>
      </c>
      <c r="BL38" s="15">
        <f t="shared" si="262"/>
        <v>0.0037109403361466563</v>
      </c>
      <c r="BM38" s="15">
        <f t="shared" si="262"/>
        <v>0</v>
      </c>
      <c r="BN38" s="15">
        <f t="shared" si="208"/>
        <v>0.026842423133958168</v>
      </c>
      <c r="BO38" s="15">
        <f t="shared" si="209"/>
        <v>2.799112744824487</v>
      </c>
      <c r="BP38" s="15">
        <f t="shared" si="210"/>
        <v>2.143536379909634</v>
      </c>
      <c r="BR38" s="22">
        <f t="shared" si="62"/>
        <v>1.8900870511533363</v>
      </c>
      <c r="BS38" s="22">
        <f t="shared" si="63"/>
        <v>0.003756880338554771</v>
      </c>
      <c r="BT38" s="22">
        <f t="shared" si="211"/>
        <v>0.1099129488466637</v>
      </c>
      <c r="BU38" s="22">
        <f t="shared" si="212"/>
        <v>0.10199990714228416</v>
      </c>
      <c r="BV38" s="22">
        <f t="shared" si="66"/>
        <v>0.21191285598894785</v>
      </c>
      <c r="BW38" s="22">
        <f t="shared" si="67"/>
        <v>0.10382575330267803</v>
      </c>
      <c r="BX38" s="22">
        <f t="shared" si="68"/>
        <v>0.0033238978225911507</v>
      </c>
      <c r="BY38" s="22">
        <f t="shared" si="69"/>
        <v>1.042931997747837</v>
      </c>
      <c r="BZ38" s="22">
        <f t="shared" si="70"/>
        <v>0.6788689580329171</v>
      </c>
      <c r="CA38" s="22">
        <f t="shared" si="71"/>
        <v>0.01590907122840889</v>
      </c>
      <c r="CB38" s="22">
        <f t="shared" si="72"/>
        <v>0</v>
      </c>
      <c r="CC38" s="22">
        <f t="shared" si="73"/>
        <v>0.03835847367504487</v>
      </c>
      <c r="CD38" s="15">
        <f t="shared" si="213"/>
        <v>3.9889749392903164</v>
      </c>
      <c r="CE38" s="15">
        <f t="shared" si="214"/>
        <v>0</v>
      </c>
      <c r="CF38" s="15">
        <f t="shared" si="215"/>
        <v>-0.03316659806836064</v>
      </c>
      <c r="CG38" s="15">
        <f t="shared" si="216"/>
        <v>0.01590907122840889</v>
      </c>
      <c r="CH38" s="15">
        <f t="shared" si="217"/>
        <v>0.08609083591387527</v>
      </c>
      <c r="CI38" s="15">
        <f t="shared" si="218"/>
        <v>0.011911056466394211</v>
      </c>
      <c r="CJ38" s="15">
        <f t="shared" si="219"/>
        <v>0.019179236837522436</v>
      </c>
      <c r="CK38" s="15">
        <f t="shared" si="220"/>
        <v>0.5616878288151252</v>
      </c>
      <c r="CL38" s="15">
        <f t="shared" si="221"/>
        <v>0.29253496111769495</v>
      </c>
      <c r="CM38" s="15">
        <f t="shared" si="222"/>
        <v>0.2652803578845956</v>
      </c>
      <c r="CN38" s="15">
        <f t="shared" si="223"/>
        <v>0.5093570617275694</v>
      </c>
      <c r="CO38" s="15">
        <f t="shared" si="224"/>
        <v>0.987312990379021</v>
      </c>
      <c r="CP38" s="15">
        <f t="shared" si="225"/>
        <v>0.5616878288151252</v>
      </c>
      <c r="CQ38" s="15"/>
      <c r="CR38" s="1">
        <f t="shared" si="226"/>
        <v>0.9094614767525522</v>
      </c>
      <c r="CS38" s="15">
        <f t="shared" si="227"/>
        <v>0.10382575330267803</v>
      </c>
      <c r="CT38" s="59">
        <f t="shared" si="89"/>
        <v>0.2980738170179935</v>
      </c>
      <c r="CU38" s="22">
        <f t="shared" si="90"/>
        <v>0.5339199432974738</v>
      </c>
      <c r="CV38" s="22">
        <f t="shared" si="228"/>
        <v>0.4208980025568483</v>
      </c>
      <c r="CW38" s="22">
        <f t="shared" si="11"/>
        <v>0.7783941985191424</v>
      </c>
      <c r="CX38" s="22">
        <f t="shared" si="12"/>
        <v>0.07749054032497382</v>
      </c>
      <c r="CY38" s="22">
        <f t="shared" si="13"/>
        <v>0.2745646672230104</v>
      </c>
      <c r="CZ38" s="22">
        <f t="shared" si="14"/>
        <v>0.027333405693072462</v>
      </c>
      <c r="DA38" s="22">
        <f t="shared" si="15"/>
        <v>0.2137195440847302</v>
      </c>
      <c r="DB38" s="22">
        <f t="shared" si="16"/>
        <v>0.2645999174724794</v>
      </c>
      <c r="DC38" s="1">
        <f t="shared" si="17"/>
        <v>0.9468363615786487</v>
      </c>
      <c r="DD38" s="1">
        <f t="shared" si="18"/>
        <v>0.000500758649353771</v>
      </c>
      <c r="DE38" s="1">
        <f t="shared" si="19"/>
        <v>0.031286472278616334</v>
      </c>
      <c r="DF38" s="1">
        <f t="shared" si="20"/>
        <v>0.07627382861215037</v>
      </c>
      <c r="DG38" s="1">
        <f t="shared" si="21"/>
        <v>0.0014096916299559472</v>
      </c>
      <c r="DH38" s="1">
        <f t="shared" si="22"/>
        <v>0.8366332211867686</v>
      </c>
      <c r="DI38" s="1">
        <f t="shared" si="23"/>
        <v>0.018724120590469604</v>
      </c>
      <c r="DJ38" s="1">
        <f t="shared" si="24"/>
        <v>0</v>
      </c>
      <c r="DK38" s="1">
        <f t="shared" si="25"/>
        <v>0</v>
      </c>
      <c r="DL38" s="1">
        <f t="shared" si="26"/>
        <v>0.005526381233461975</v>
      </c>
      <c r="DM38" s="1">
        <f t="shared" si="229"/>
        <v>1.9171908357594254</v>
      </c>
      <c r="DO38" s="15">
        <f t="shared" si="263"/>
        <v>1.8936727231572974</v>
      </c>
      <c r="DP38" s="15">
        <f t="shared" si="263"/>
        <v>0.001001517298707542</v>
      </c>
      <c r="DQ38" s="15">
        <f t="shared" si="231"/>
        <v>0.093859416835849</v>
      </c>
      <c r="DR38" s="15">
        <f t="shared" si="264"/>
        <v>0.07627382861215037</v>
      </c>
      <c r="DS38" s="15">
        <f t="shared" si="264"/>
        <v>0.0014096916299559472</v>
      </c>
      <c r="DT38" s="15">
        <f t="shared" si="264"/>
        <v>0.8366332211867686</v>
      </c>
      <c r="DU38" s="15">
        <f t="shared" si="264"/>
        <v>0.018724120590469604</v>
      </c>
      <c r="DV38" s="15">
        <f t="shared" si="264"/>
        <v>0</v>
      </c>
      <c r="DW38" s="15">
        <f t="shared" si="264"/>
        <v>0</v>
      </c>
      <c r="DX38" s="15">
        <f t="shared" si="234"/>
        <v>0.016579143700385924</v>
      </c>
      <c r="DY38" s="15">
        <f t="shared" si="235"/>
        <v>2.938153663011584</v>
      </c>
      <c r="DZ38" s="15">
        <f t="shared" si="236"/>
        <v>2.0420987763621756</v>
      </c>
      <c r="EB38" s="22">
        <f t="shared" si="99"/>
        <v>1.933533375394973</v>
      </c>
      <c r="EC38" s="22">
        <f t="shared" si="100"/>
        <v>0.0010225986250981115</v>
      </c>
      <c r="ED38" s="22">
        <f t="shared" si="237"/>
        <v>0.06646662460502695</v>
      </c>
      <c r="EE38" s="22">
        <f t="shared" si="238"/>
        <v>0.06131350890867615</v>
      </c>
      <c r="EF38" s="22">
        <f t="shared" si="103"/>
        <v>0.1277801335137031</v>
      </c>
      <c r="EG38" s="22">
        <f t="shared" si="104"/>
        <v>0.1557586920773306</v>
      </c>
      <c r="EH38" s="22">
        <f t="shared" si="105"/>
        <v>0.002878729552581041</v>
      </c>
      <c r="EI38" s="22">
        <f t="shared" si="106"/>
        <v>1.7084876772494457</v>
      </c>
      <c r="EJ38" s="22">
        <f t="shared" si="107"/>
        <v>0.0382365037462558</v>
      </c>
      <c r="EK38" s="22">
        <f t="shared" si="108"/>
        <v>0</v>
      </c>
      <c r="EL38" s="22">
        <f t="shared" si="109"/>
        <v>0</v>
      </c>
      <c r="EM38" s="22">
        <f t="shared" si="110"/>
        <v>0.02257083270912718</v>
      </c>
      <c r="EN38" s="15">
        <f t="shared" si="239"/>
        <v>3.990268542868514</v>
      </c>
      <c r="EO38" s="15">
        <f t="shared" si="240"/>
        <v>0</v>
      </c>
      <c r="EP38" s="15">
        <f t="shared" si="241"/>
        <v>-0.02926557055578094</v>
      </c>
      <c r="EQ38" s="15">
        <f t="shared" si="242"/>
        <v>0</v>
      </c>
      <c r="ER38" s="15">
        <f t="shared" si="243"/>
        <v>0.0010225986250981115</v>
      </c>
      <c r="ES38" s="15">
        <f t="shared" si="244"/>
        <v>0.02257083270912718</v>
      </c>
      <c r="ET38" s="15">
        <f t="shared" si="245"/>
        <v>0.03874267619954897</v>
      </c>
      <c r="EU38" s="15">
        <f t="shared" si="246"/>
        <v>0.0382365037462558</v>
      </c>
      <c r="EV38" s="15">
        <f t="shared" si="247"/>
        <v>0.8945616601542272</v>
      </c>
      <c r="EW38" s="15">
        <f t="shared" si="248"/>
        <v>0.8185566001070915</v>
      </c>
      <c r="EX38" s="15">
        <f t="shared" si="249"/>
        <v>0.03498779782393216</v>
      </c>
      <c r="EY38" s="59">
        <f t="shared" si="122"/>
        <v>0.7372429850979715</v>
      </c>
      <c r="EZ38" s="15">
        <f t="shared" si="123"/>
        <v>0.0382365037462558</v>
      </c>
      <c r="FA38" s="15">
        <f t="shared" si="250"/>
        <v>0.08355048701721692</v>
      </c>
      <c r="FB38" s="15">
        <f t="shared" si="251"/>
        <v>0.7600420972852063</v>
      </c>
      <c r="FC38" s="22">
        <f t="shared" si="126"/>
        <v>0.9164495129827831</v>
      </c>
      <c r="FD38" s="22">
        <f t="shared" si="127"/>
        <v>0.8386365889483178</v>
      </c>
      <c r="FE38" s="22">
        <f t="shared" si="128"/>
        <v>0.07645647080878075</v>
      </c>
      <c r="FF38" s="22">
        <f t="shared" si="129"/>
        <v>0.8787694774498906</v>
      </c>
      <c r="FG38" s="22">
        <f t="shared" si="130"/>
        <v>0.08011528925127259</v>
      </c>
      <c r="FH38" s="58">
        <f t="shared" si="131"/>
        <v>0.736968237040472</v>
      </c>
      <c r="FI38" s="15">
        <f t="shared" si="252"/>
        <v>0.9951342714342573</v>
      </c>
      <c r="FK38" s="1">
        <f t="shared" si="28"/>
        <v>1270</v>
      </c>
      <c r="FL38" s="1">
        <f t="shared" si="133"/>
        <v>10</v>
      </c>
      <c r="FN38" s="1">
        <f t="shared" si="29"/>
        <v>0.31889361992379023</v>
      </c>
      <c r="FO38" s="1">
        <f t="shared" si="253"/>
        <v>1316.9197473883423</v>
      </c>
      <c r="FQ38" s="1">
        <f t="shared" si="30"/>
        <v>1206.4534046689378</v>
      </c>
      <c r="FR38" s="1">
        <f t="shared" si="31"/>
        <v>1076.7986804827628</v>
      </c>
      <c r="FS38" s="1">
        <f t="shared" si="32"/>
        <v>1278.6380748880702</v>
      </c>
      <c r="FT38" s="1">
        <f t="shared" si="33"/>
        <v>1152.5054884052993</v>
      </c>
      <c r="FU38" s="1">
        <f t="shared" si="135"/>
        <v>0.28999831111173574</v>
      </c>
      <c r="FV38" s="1">
        <f t="shared" si="254"/>
        <v>1336.1087263542768</v>
      </c>
      <c r="FW38" s="1">
        <f t="shared" si="34"/>
        <v>1106.4763062212091</v>
      </c>
      <c r="FY38" s="1">
        <f t="shared" si="137"/>
        <v>1308.5661300392221</v>
      </c>
      <c r="FZ38" s="1">
        <f t="shared" si="255"/>
        <v>769.8038565819558</v>
      </c>
      <c r="GB38" s="1">
        <f t="shared" si="35"/>
        <v>79.36418271405445</v>
      </c>
      <c r="GC38" s="1">
        <f t="shared" si="36"/>
        <v>56.45933480311021</v>
      </c>
      <c r="GE38" s="1">
        <f t="shared" si="256"/>
        <v>26.0071</v>
      </c>
      <c r="GF38" s="1">
        <f t="shared" si="257"/>
        <v>31.5754</v>
      </c>
      <c r="GG38" s="1">
        <f t="shared" si="258"/>
        <v>11.11</v>
      </c>
      <c r="GH38" s="1">
        <f t="shared" si="37"/>
        <v>720.2417178566322</v>
      </c>
      <c r="GI38" s="1">
        <f t="shared" si="38"/>
        <v>1086.4457028236016</v>
      </c>
      <c r="GK38" s="1">
        <f t="shared" si="142"/>
        <v>1036.6299754265224</v>
      </c>
      <c r="GL38" s="1" t="e">
        <f t="shared" si="202"/>
        <v>#NUM!</v>
      </c>
      <c r="GN38" s="1">
        <f t="shared" si="143"/>
        <v>1257.2633318514727</v>
      </c>
      <c r="GP38" s="1">
        <f t="shared" si="39"/>
        <v>10.816913618501887</v>
      </c>
      <c r="GQ38" s="1">
        <f t="shared" si="144"/>
        <v>0.8169136185018875</v>
      </c>
      <c r="GR38" s="2">
        <f t="shared" si="40"/>
        <v>10</v>
      </c>
    </row>
    <row r="39" spans="1:200" ht="13.5">
      <c r="A39" s="1" t="s">
        <v>13</v>
      </c>
      <c r="B39" s="1" t="s">
        <v>16</v>
      </c>
      <c r="C39" s="23">
        <v>1</v>
      </c>
      <c r="D39" s="2">
        <v>1300</v>
      </c>
      <c r="F39" s="1">
        <v>199</v>
      </c>
      <c r="G39" s="23">
        <v>53.77</v>
      </c>
      <c r="H39" s="23">
        <v>0.11</v>
      </c>
      <c r="I39" s="23">
        <v>4.31</v>
      </c>
      <c r="J39" s="23">
        <v>3.6</v>
      </c>
      <c r="K39" s="23">
        <v>0.11</v>
      </c>
      <c r="L39" s="23">
        <v>20.51</v>
      </c>
      <c r="M39" s="23">
        <v>16.95</v>
      </c>
      <c r="N39" s="23">
        <v>0.23</v>
      </c>
      <c r="O39" s="23">
        <v>0</v>
      </c>
      <c r="P39" s="23">
        <v>1.51</v>
      </c>
      <c r="R39" s="23">
        <v>56.66</v>
      </c>
      <c r="S39" s="23">
        <v>0.05</v>
      </c>
      <c r="T39" s="23">
        <v>3.47</v>
      </c>
      <c r="U39" s="23">
        <v>5.4</v>
      </c>
      <c r="V39" s="23">
        <v>0.12</v>
      </c>
      <c r="W39" s="23">
        <v>32.82</v>
      </c>
      <c r="X39" s="23">
        <v>1.56</v>
      </c>
      <c r="Y39" s="23">
        <v>0.04</v>
      </c>
      <c r="Z39" s="23">
        <v>0</v>
      </c>
      <c r="AA39" s="23">
        <v>0.94</v>
      </c>
      <c r="AC39" s="50">
        <f t="shared" si="41"/>
        <v>1265.299209691179</v>
      </c>
      <c r="AD39" s="50">
        <f t="shared" si="0"/>
        <v>10.321434468848464</v>
      </c>
      <c r="AE39" s="69">
        <f t="shared" si="42"/>
        <v>0.9103608252344643</v>
      </c>
      <c r="AF39" s="27">
        <f t="shared" si="1"/>
        <v>1291.1186310601838</v>
      </c>
      <c r="AG39" s="27"/>
      <c r="AH39" s="27">
        <f t="shared" si="2"/>
        <v>1265.299209691179</v>
      </c>
      <c r="AI39" s="27">
        <f t="shared" si="3"/>
        <v>1265.4249666995356</v>
      </c>
      <c r="AJ39" s="27">
        <f t="shared" si="4"/>
        <v>10.289105366948233</v>
      </c>
      <c r="AK39" s="27">
        <f t="shared" si="5"/>
        <v>10.321434468848464</v>
      </c>
      <c r="AL39" s="27">
        <f t="shared" si="43"/>
        <v>1348.5231698911757</v>
      </c>
      <c r="AM39" s="27">
        <f t="shared" si="44"/>
        <v>1311.185240164432</v>
      </c>
      <c r="AN39" s="29">
        <f t="shared" si="6"/>
        <v>1245.2280397198379</v>
      </c>
      <c r="AO39" s="42">
        <f t="shared" si="7"/>
        <v>1.066796684544125</v>
      </c>
      <c r="AP39" s="44"/>
      <c r="AQ39" s="1">
        <f t="shared" si="8"/>
        <v>0.1601941348818498</v>
      </c>
      <c r="AS39" s="1">
        <f t="shared" si="45"/>
        <v>0.8949093190733687</v>
      </c>
      <c r="AT39" s="1">
        <f t="shared" si="46"/>
        <v>0.00137708628572287</v>
      </c>
      <c r="AU39" s="1">
        <f t="shared" si="47"/>
        <v>0.04227106442659448</v>
      </c>
      <c r="AV39" s="1">
        <f t="shared" si="48"/>
        <v>0.05010689470871192</v>
      </c>
      <c r="AW39" s="1">
        <f t="shared" si="49"/>
        <v>0.0015506607929515418</v>
      </c>
      <c r="AX39" s="1">
        <f t="shared" si="50"/>
        <v>0.5088774426613472</v>
      </c>
      <c r="AY39" s="1">
        <f t="shared" si="51"/>
        <v>0.3022608038175807</v>
      </c>
      <c r="AZ39" s="1">
        <f t="shared" si="52"/>
        <v>0.0037109403361466563</v>
      </c>
      <c r="BA39" s="1">
        <f t="shared" si="53"/>
        <v>0</v>
      </c>
      <c r="BB39" s="1">
        <f t="shared" si="54"/>
        <v>0.009934328169675695</v>
      </c>
      <c r="BC39" s="1">
        <f t="shared" si="203"/>
        <v>1.8149985402720996</v>
      </c>
      <c r="BE39" s="15">
        <f t="shared" si="261"/>
        <v>1.7898186381467374</v>
      </c>
      <c r="BF39" s="15">
        <f t="shared" si="261"/>
        <v>0.00275417257144574</v>
      </c>
      <c r="BG39" s="15">
        <f t="shared" si="205"/>
        <v>0.12681319327978344</v>
      </c>
      <c r="BH39" s="15">
        <f t="shared" si="262"/>
        <v>0.05010689470871192</v>
      </c>
      <c r="BI39" s="15">
        <f t="shared" si="262"/>
        <v>0.0015506607929515418</v>
      </c>
      <c r="BJ39" s="15">
        <f t="shared" si="262"/>
        <v>0.5088774426613472</v>
      </c>
      <c r="BK39" s="15">
        <f t="shared" si="262"/>
        <v>0.3022608038175807</v>
      </c>
      <c r="BL39" s="15">
        <f t="shared" si="262"/>
        <v>0.0037109403361466563</v>
      </c>
      <c r="BM39" s="15">
        <f t="shared" si="262"/>
        <v>0</v>
      </c>
      <c r="BN39" s="15">
        <f t="shared" si="208"/>
        <v>0.029802984509027082</v>
      </c>
      <c r="BO39" s="15">
        <f t="shared" si="209"/>
        <v>2.815695730823732</v>
      </c>
      <c r="BP39" s="15">
        <f t="shared" si="210"/>
        <v>2.1309120635150087</v>
      </c>
      <c r="BR39" s="22">
        <f t="shared" si="62"/>
        <v>1.9069730637654434</v>
      </c>
      <c r="BS39" s="22">
        <f t="shared" si="63"/>
        <v>0.00293444977874794</v>
      </c>
      <c r="BT39" s="22">
        <f t="shared" si="211"/>
        <v>0.0930269362345566</v>
      </c>
      <c r="BU39" s="22">
        <f t="shared" si="212"/>
        <v>0.08712490601394404</v>
      </c>
      <c r="BV39" s="22">
        <f t="shared" si="66"/>
        <v>0.18015184224850064</v>
      </c>
      <c r="BW39" s="22">
        <f t="shared" si="67"/>
        <v>0.1067733864000706</v>
      </c>
      <c r="BX39" s="22">
        <f t="shared" si="68"/>
        <v>0.0033043217901201896</v>
      </c>
      <c r="BY39" s="22">
        <f t="shared" si="69"/>
        <v>1.0843730814177317</v>
      </c>
      <c r="BZ39" s="22">
        <f t="shared" si="70"/>
        <v>0.6440911931826261</v>
      </c>
      <c r="CA39" s="22">
        <f t="shared" si="71"/>
        <v>0.015815375058558703</v>
      </c>
      <c r="CB39" s="22">
        <f t="shared" si="72"/>
        <v>0</v>
      </c>
      <c r="CC39" s="22">
        <f t="shared" si="73"/>
        <v>0.04233835947935783</v>
      </c>
      <c r="CD39" s="15">
        <f t="shared" si="213"/>
        <v>3.9867550731211567</v>
      </c>
      <c r="CE39" s="15">
        <f t="shared" si="214"/>
        <v>0</v>
      </c>
      <c r="CF39" s="15">
        <f t="shared" si="215"/>
        <v>-0.0398667888122084</v>
      </c>
      <c r="CG39" s="15">
        <f t="shared" si="216"/>
        <v>0.015815375058558703</v>
      </c>
      <c r="CH39" s="15">
        <f t="shared" si="217"/>
        <v>0.07130953095538534</v>
      </c>
      <c r="CI39" s="15">
        <f t="shared" si="218"/>
        <v>0.010858702639585632</v>
      </c>
      <c r="CJ39" s="15">
        <f t="shared" si="219"/>
        <v>0.021169179739678915</v>
      </c>
      <c r="CK39" s="15">
        <f t="shared" si="220"/>
        <v>0.5407537798479762</v>
      </c>
      <c r="CL39" s="15">
        <f t="shared" si="221"/>
        <v>0.32519634398491304</v>
      </c>
      <c r="CM39" s="15">
        <f t="shared" si="222"/>
        <v>0.2952270320893276</v>
      </c>
      <c r="CN39" s="15">
        <f t="shared" si="223"/>
        <v>0.4909192137873793</v>
      </c>
      <c r="CO39" s="15">
        <f t="shared" si="224"/>
        <v>0.9851029122260979</v>
      </c>
      <c r="CP39" s="15">
        <f t="shared" si="225"/>
        <v>0.5407537798479762</v>
      </c>
      <c r="CQ39" s="15"/>
      <c r="CR39" s="1">
        <f t="shared" si="226"/>
        <v>0.9103608252344643</v>
      </c>
      <c r="CS39" s="15">
        <f t="shared" si="227"/>
        <v>0.1067733864000706</v>
      </c>
      <c r="CT39" s="59">
        <f t="shared" si="89"/>
        <v>0.32079837485077217</v>
      </c>
      <c r="CU39" s="22">
        <f t="shared" si="90"/>
        <v>0.5116772454728077</v>
      </c>
      <c r="CV39" s="22">
        <f t="shared" si="228"/>
        <v>0.44763665422138965</v>
      </c>
      <c r="CW39" s="22">
        <f t="shared" si="11"/>
        <v>0.7898311319002433</v>
      </c>
      <c r="CX39" s="22">
        <f t="shared" si="12"/>
        <v>0.07777115282770682</v>
      </c>
      <c r="CY39" s="22">
        <f t="shared" si="13"/>
        <v>0.30659961208108194</v>
      </c>
      <c r="CZ39" s="22">
        <f t="shared" si="14"/>
        <v>0.03018949788761309</v>
      </c>
      <c r="DA39" s="22">
        <f t="shared" si="15"/>
        <v>0.24216191865017647</v>
      </c>
      <c r="DB39" s="22">
        <f t="shared" si="16"/>
        <v>0.299570351050537</v>
      </c>
      <c r="DC39" s="1">
        <f t="shared" si="17"/>
        <v>0.9430084065221697</v>
      </c>
      <c r="DD39" s="1">
        <f t="shared" si="18"/>
        <v>0.0006259483116922138</v>
      </c>
      <c r="DE39" s="1">
        <f t="shared" si="19"/>
        <v>0.03403262031561087</v>
      </c>
      <c r="DF39" s="1">
        <f t="shared" si="20"/>
        <v>0.07516034206306788</v>
      </c>
      <c r="DG39" s="1">
        <f t="shared" si="21"/>
        <v>0.0016916299559471366</v>
      </c>
      <c r="DH39" s="1">
        <f t="shared" si="22"/>
        <v>0.8143031530056272</v>
      </c>
      <c r="DI39" s="1">
        <f t="shared" si="23"/>
        <v>0.027818693448697696</v>
      </c>
      <c r="DJ39" s="1">
        <f t="shared" si="24"/>
        <v>0.0006453809280255055</v>
      </c>
      <c r="DK39" s="1">
        <f t="shared" si="25"/>
        <v>0</v>
      </c>
      <c r="DL39" s="1">
        <f t="shared" si="26"/>
        <v>0.006184283761255067</v>
      </c>
      <c r="DM39" s="1">
        <f t="shared" si="229"/>
        <v>1.903470458312093</v>
      </c>
      <c r="DO39" s="15">
        <f t="shared" si="263"/>
        <v>1.8860168130443393</v>
      </c>
      <c r="DP39" s="15">
        <f t="shared" si="263"/>
        <v>0.0012518966233844276</v>
      </c>
      <c r="DQ39" s="15">
        <f t="shared" si="231"/>
        <v>0.10209786094683261</v>
      </c>
      <c r="DR39" s="15">
        <f t="shared" si="264"/>
        <v>0.07516034206306788</v>
      </c>
      <c r="DS39" s="15">
        <f t="shared" si="264"/>
        <v>0.0016916299559471366</v>
      </c>
      <c r="DT39" s="15">
        <f t="shared" si="264"/>
        <v>0.8143031530056272</v>
      </c>
      <c r="DU39" s="15">
        <f t="shared" si="264"/>
        <v>0.027818693448697696</v>
      </c>
      <c r="DV39" s="15">
        <f t="shared" si="264"/>
        <v>0.0006453809280255055</v>
      </c>
      <c r="DW39" s="15">
        <f t="shared" si="264"/>
        <v>0</v>
      </c>
      <c r="DX39" s="15">
        <f t="shared" si="234"/>
        <v>0.0185528512837652</v>
      </c>
      <c r="DY39" s="15">
        <f t="shared" si="235"/>
        <v>2.927538621299687</v>
      </c>
      <c r="DZ39" s="15">
        <f t="shared" si="236"/>
        <v>2.0495032777180877</v>
      </c>
      <c r="EB39" s="22">
        <f t="shared" si="99"/>
        <v>1.9326988200828976</v>
      </c>
      <c r="EC39" s="22">
        <f t="shared" si="100"/>
        <v>0.0012828831164952955</v>
      </c>
      <c r="ED39" s="22">
        <f t="shared" si="237"/>
        <v>0.06730117991710238</v>
      </c>
      <c r="EE39" s="22">
        <f t="shared" si="238"/>
        <v>0.07219875385525693</v>
      </c>
      <c r="EF39" s="22">
        <f t="shared" si="103"/>
        <v>0.1394999337723593</v>
      </c>
      <c r="EG39" s="22">
        <f t="shared" si="104"/>
        <v>0.15404136741267027</v>
      </c>
      <c r="EH39" s="22">
        <f t="shared" si="105"/>
        <v>0.0034670011393997608</v>
      </c>
      <c r="EI39" s="22">
        <f t="shared" si="106"/>
        <v>1.6689169811412063</v>
      </c>
      <c r="EJ39" s="22">
        <f t="shared" si="107"/>
        <v>0.057014503404940624</v>
      </c>
      <c r="EK39" s="22">
        <f t="shared" si="108"/>
        <v>0.0026454206547300296</v>
      </c>
      <c r="EL39" s="22">
        <f t="shared" si="109"/>
        <v>0</v>
      </c>
      <c r="EM39" s="22">
        <f t="shared" si="110"/>
        <v>0.025349419678062007</v>
      </c>
      <c r="EN39" s="15">
        <f t="shared" si="239"/>
        <v>3.9849163304027613</v>
      </c>
      <c r="EO39" s="15">
        <f t="shared" si="240"/>
        <v>0</v>
      </c>
      <c r="EP39" s="15">
        <f t="shared" si="241"/>
        <v>-0.045422292504838424</v>
      </c>
      <c r="EQ39" s="15">
        <f t="shared" si="242"/>
        <v>0.0026454206547300296</v>
      </c>
      <c r="ER39" s="15">
        <f t="shared" si="243"/>
        <v>0.0012828831164952955</v>
      </c>
      <c r="ES39" s="15">
        <f t="shared" si="244"/>
        <v>0.025349419678062007</v>
      </c>
      <c r="ET39" s="15">
        <f t="shared" si="245"/>
        <v>0.04420391352246489</v>
      </c>
      <c r="EU39" s="15">
        <f t="shared" si="246"/>
        <v>0.057014503404940624</v>
      </c>
      <c r="EV39" s="15">
        <f t="shared" si="247"/>
        <v>0.861962024824688</v>
      </c>
      <c r="EW39" s="15">
        <f t="shared" si="248"/>
        <v>0.7876276249507617</v>
      </c>
      <c r="EX39" s="15">
        <f t="shared" si="249"/>
        <v>0.052097652345779205</v>
      </c>
      <c r="EY39" s="59">
        <f t="shared" si="122"/>
        <v>0.7071728844910773</v>
      </c>
      <c r="EZ39" s="15">
        <f t="shared" si="123"/>
        <v>0.057014503404940624</v>
      </c>
      <c r="FA39" s="15">
        <f t="shared" si="250"/>
        <v>0.08450076082915925</v>
      </c>
      <c r="FB39" s="15">
        <f t="shared" si="251"/>
        <v>0.7424266985881758</v>
      </c>
      <c r="FC39" s="22">
        <f t="shared" si="126"/>
        <v>0.9154992391708406</v>
      </c>
      <c r="FD39" s="22">
        <f t="shared" si="127"/>
        <v>0.8250194820014856</v>
      </c>
      <c r="FE39" s="22">
        <f t="shared" si="128"/>
        <v>0.0761494613487003</v>
      </c>
      <c r="FF39" s="22">
        <f t="shared" si="129"/>
        <v>0.857706587179897</v>
      </c>
      <c r="FG39" s="22">
        <f t="shared" si="130"/>
        <v>0.07916648762103247</v>
      </c>
      <c r="FH39" s="58">
        <f t="shared" si="131"/>
        <v>0.7076246442644204</v>
      </c>
      <c r="FI39" s="15">
        <f t="shared" si="252"/>
        <v>0.9924581652013809</v>
      </c>
      <c r="FK39" s="1">
        <f t="shared" si="28"/>
        <v>1300</v>
      </c>
      <c r="FL39" s="1">
        <f t="shared" si="133"/>
        <v>10</v>
      </c>
      <c r="FN39" s="1">
        <f t="shared" si="29"/>
        <v>0.369180866602133</v>
      </c>
      <c r="FO39" s="1">
        <f t="shared" si="253"/>
        <v>1359.0818131884475</v>
      </c>
      <c r="FQ39" s="1">
        <f t="shared" si="30"/>
        <v>1276.6297407073216</v>
      </c>
      <c r="FR39" s="1">
        <f t="shared" si="31"/>
        <v>1146.3599727022247</v>
      </c>
      <c r="FS39" s="1">
        <f t="shared" si="32"/>
        <v>1356.6349259269136</v>
      </c>
      <c r="FT39" s="1">
        <f t="shared" si="33"/>
        <v>1226.3904198336584</v>
      </c>
      <c r="FU39" s="1">
        <f t="shared" si="135"/>
        <v>0.3422180397658494</v>
      </c>
      <c r="FV39" s="1">
        <f t="shared" si="254"/>
        <v>1428.6482647997982</v>
      </c>
      <c r="FW39" s="1">
        <f t="shared" si="34"/>
        <v>1237.2302360497856</v>
      </c>
      <c r="FY39" s="1">
        <f t="shared" si="137"/>
        <v>1348.5231698911757</v>
      </c>
      <c r="FZ39" s="1">
        <f t="shared" si="255"/>
        <v>828.3594719636031</v>
      </c>
      <c r="GB39" s="1">
        <f t="shared" si="35"/>
        <v>54.058191148518105</v>
      </c>
      <c r="GC39" s="1">
        <f t="shared" si="36"/>
        <v>40.51559194039923</v>
      </c>
      <c r="GE39" s="1">
        <f t="shared" si="256"/>
        <v>26.0071</v>
      </c>
      <c r="GF39" s="1">
        <f t="shared" si="257"/>
        <v>31.5754</v>
      </c>
      <c r="GG39" s="1">
        <f t="shared" si="258"/>
        <v>11.11</v>
      </c>
      <c r="GH39" s="1">
        <f t="shared" si="37"/>
        <v>786.4460771111643</v>
      </c>
      <c r="GI39" s="1">
        <f t="shared" si="38"/>
        <v>1193.0220177649726</v>
      </c>
      <c r="GK39" s="1">
        <f t="shared" si="142"/>
        <v>1147.789271045628</v>
      </c>
      <c r="GL39" s="1">
        <f t="shared" si="202"/>
        <v>1275.4973127585095</v>
      </c>
      <c r="GN39" s="1">
        <f t="shared" si="143"/>
        <v>1311.185240164432</v>
      </c>
      <c r="GP39" s="1">
        <f t="shared" si="39"/>
        <v>10.289105366948233</v>
      </c>
      <c r="GQ39" s="1">
        <f t="shared" si="144"/>
        <v>0.28910536694823286</v>
      </c>
      <c r="GR39" s="2">
        <f t="shared" si="40"/>
        <v>10</v>
      </c>
    </row>
    <row r="40" spans="1:200" ht="13.5">
      <c r="A40" s="60" t="s">
        <v>161</v>
      </c>
      <c r="B40" s="60" t="s">
        <v>162</v>
      </c>
      <c r="C40" s="63"/>
      <c r="G40" s="62">
        <v>50.05</v>
      </c>
      <c r="H40" s="62">
        <v>0.29</v>
      </c>
      <c r="I40" s="62">
        <v>2.59</v>
      </c>
      <c r="J40" s="62">
        <v>12.87</v>
      </c>
      <c r="K40" s="62">
        <v>0.23</v>
      </c>
      <c r="L40" s="62">
        <v>11.18</v>
      </c>
      <c r="M40" s="62">
        <v>22.14</v>
      </c>
      <c r="N40" s="62">
        <v>0.16</v>
      </c>
      <c r="O40" s="62">
        <v>0</v>
      </c>
      <c r="P40" s="62"/>
      <c r="R40" s="61">
        <v>50.03</v>
      </c>
      <c r="S40" s="61">
        <v>0.08</v>
      </c>
      <c r="T40" s="61">
        <v>1.43</v>
      </c>
      <c r="U40" s="61">
        <v>31</v>
      </c>
      <c r="V40" s="61">
        <v>0.42</v>
      </c>
      <c r="W40" s="61">
        <v>16.07</v>
      </c>
      <c r="X40" s="61">
        <v>0.56</v>
      </c>
      <c r="Y40" s="61">
        <v>0.01</v>
      </c>
      <c r="Z40" s="61">
        <v>0</v>
      </c>
      <c r="AA40" s="61">
        <v>0</v>
      </c>
      <c r="AC40" s="50">
        <f>AH40</f>
        <v>897.8341277576787</v>
      </c>
      <c r="AD40" s="50">
        <f>AK40</f>
        <v>18.93666369912617</v>
      </c>
      <c r="AE40" s="69">
        <f t="shared" si="42"/>
        <v>0.6076148454615561</v>
      </c>
      <c r="AF40" s="27">
        <f t="shared" si="1"/>
        <v>704.5373501337656</v>
      </c>
      <c r="AG40" s="27"/>
      <c r="AH40" s="27">
        <f t="shared" si="2"/>
        <v>897.8341277576787</v>
      </c>
      <c r="AI40" s="27">
        <f t="shared" si="3"/>
        <v>853.1083229443065</v>
      </c>
      <c r="AJ40" s="27">
        <f t="shared" si="4"/>
        <v>46.44999866035994</v>
      </c>
      <c r="AK40" s="27">
        <f t="shared" si="5"/>
        <v>18.93666369912617</v>
      </c>
      <c r="AL40" s="27">
        <f t="shared" si="43"/>
        <v>787.8534586258235</v>
      </c>
      <c r="AM40" s="27">
        <f t="shared" si="44"/>
        <v>819.7819778819957</v>
      </c>
      <c r="AN40" s="29">
        <f t="shared" si="6"/>
        <v>976.5385335685514</v>
      </c>
      <c r="AO40" s="42">
        <f t="shared" si="7"/>
        <v>0.5967479369842459</v>
      </c>
      <c r="AP40" s="44"/>
      <c r="AQ40" s="1">
        <f t="shared" si="8"/>
        <v>0.2570452134221978</v>
      </c>
      <c r="AS40" s="1">
        <f aca="true" t="shared" si="265" ref="AS40:BB40">G40/AS$9</f>
        <v>0.8329963068555346</v>
      </c>
      <c r="AT40" s="1">
        <f t="shared" si="265"/>
        <v>0.003630500207814839</v>
      </c>
      <c r="AU40" s="1">
        <f t="shared" si="265"/>
        <v>0.025401869342199467</v>
      </c>
      <c r="AV40" s="1">
        <f t="shared" si="265"/>
        <v>0.1791321485836451</v>
      </c>
      <c r="AW40" s="1">
        <f t="shared" si="265"/>
        <v>0.0032422907488986784</v>
      </c>
      <c r="AX40" s="1">
        <f t="shared" si="265"/>
        <v>0.27738906918351347</v>
      </c>
      <c r="AY40" s="1">
        <f t="shared" si="265"/>
        <v>0.3948114570219019</v>
      </c>
      <c r="AZ40" s="1">
        <f t="shared" si="265"/>
        <v>0.002581523712102022</v>
      </c>
      <c r="BA40" s="1">
        <f t="shared" si="265"/>
        <v>0</v>
      </c>
      <c r="BB40" s="1">
        <f t="shared" si="265"/>
        <v>0</v>
      </c>
      <c r="BC40" s="1">
        <f>SUM(AS40:BB40)</f>
        <v>1.71918516565561</v>
      </c>
      <c r="BE40" s="15">
        <f>AS40*2</f>
        <v>1.6659926137110692</v>
      </c>
      <c r="BF40" s="15">
        <f>AT40*2</f>
        <v>0.007261000415629678</v>
      </c>
      <c r="BG40" s="15">
        <f>AU40*3</f>
        <v>0.0762056080265984</v>
      </c>
      <c r="BH40" s="15">
        <f aca="true" t="shared" si="266" ref="BH40:BM40">AV40</f>
        <v>0.1791321485836451</v>
      </c>
      <c r="BI40" s="15">
        <f t="shared" si="266"/>
        <v>0.0032422907488986784</v>
      </c>
      <c r="BJ40" s="15">
        <f t="shared" si="266"/>
        <v>0.27738906918351347</v>
      </c>
      <c r="BK40" s="15">
        <f t="shared" si="266"/>
        <v>0.3948114570219019</v>
      </c>
      <c r="BL40" s="15">
        <f t="shared" si="266"/>
        <v>0.002581523712102022</v>
      </c>
      <c r="BM40" s="15">
        <f t="shared" si="266"/>
        <v>0</v>
      </c>
      <c r="BN40" s="15">
        <f>BB40*3</f>
        <v>0</v>
      </c>
      <c r="BO40" s="15">
        <f>SUM(BE40:BN40)</f>
        <v>2.6066157114033586</v>
      </c>
      <c r="BP40" s="15">
        <f>6/BO40</f>
        <v>2.3018352777324815</v>
      </c>
      <c r="BR40" s="22">
        <f>AS40*$BP40</f>
        <v>1.917420285340941</v>
      </c>
      <c r="BS40" s="22">
        <f>AT40*$BP40</f>
        <v>0.008356813454163302</v>
      </c>
      <c r="BT40" s="22">
        <f>2-BR40</f>
        <v>0.082579714659059</v>
      </c>
      <c r="BU40" s="22">
        <f>IF(BV40-BT40&lt;0,0,BV40-BT40)</f>
        <v>0.03436212328539284</v>
      </c>
      <c r="BV40" s="22">
        <f>AU40*$BP40*2</f>
        <v>0.11694183794445184</v>
      </c>
      <c r="BW40" s="22">
        <f>AV40*$BP40</f>
        <v>0.41233269898585084</v>
      </c>
      <c r="BX40" s="22">
        <f>AW40*$BP40</f>
        <v>0.007463219226480645</v>
      </c>
      <c r="BY40" s="22">
        <f>AX40*$BP40</f>
        <v>0.6385039451039872</v>
      </c>
      <c r="BZ40" s="22">
        <f>AY40*$BP40</f>
        <v>0.9087909398259753</v>
      </c>
      <c r="CA40" s="22">
        <f>AZ40*$BP40*2</f>
        <v>0.011884484701638689</v>
      </c>
      <c r="CB40" s="22">
        <f>BA40*$BP40*2</f>
        <v>0</v>
      </c>
      <c r="CC40" s="22">
        <f>BB40*$BP40*2</f>
        <v>0</v>
      </c>
      <c r="CD40" s="15">
        <f>BR40+BS40+BV40+BW40+BX40+BY40+BZ40+CA40+CB40+CC40</f>
        <v>4.021694224583489</v>
      </c>
      <c r="CE40" s="15">
        <f>IF(CA40+BT40-BU40-2*BS40-CC40&gt;0,CA40+BT40-BU40-2*BS40-CC40,0)</f>
        <v>0.043388449166978246</v>
      </c>
      <c r="CF40" s="15">
        <f>12-48/CD40</f>
        <v>0.06473159829271324</v>
      </c>
      <c r="CG40" s="15">
        <f>IF(CA40&lt;BU40,CA40,BU40)</f>
        <v>0.011884484701638689</v>
      </c>
      <c r="CH40" s="15">
        <f>IF(BU40&gt;CA40,BU40-CA40,0)</f>
        <v>0.022477638583754154</v>
      </c>
      <c r="CI40" s="15">
        <f>IF(BT40&gt;CH40,(BT40-CH40)/2,0)</f>
        <v>0.030051038037652425</v>
      </c>
      <c r="CJ40" s="15">
        <f>CC40/2</f>
        <v>0</v>
      </c>
      <c r="CK40" s="15">
        <f>IF(BZ40-CI40-CH40-CJ40&gt;0,BZ40-CI40-CH40-CJ40,0)</f>
        <v>0.8562622632045687</v>
      </c>
      <c r="CL40" s="15">
        <f>((BW40+BY40)-CK40)/2</f>
        <v>0.09728719044263467</v>
      </c>
      <c r="CM40" s="15">
        <f>CL40*(BY40/(BY40+BX40+BW40))</f>
        <v>0.05869627036617922</v>
      </c>
      <c r="CN40" s="15">
        <f>CP40*(BY40/(BY40+BX40+BW40))</f>
        <v>0.5166086211015344</v>
      </c>
      <c r="CO40" s="15">
        <f>SUM(CG40:CL40)</f>
        <v>1.0179626149702488</v>
      </c>
      <c r="CP40" s="15">
        <f>BZ40-CH40-CI40-CJ40</f>
        <v>0.8562622632045687</v>
      </c>
      <c r="CQ40" s="15"/>
      <c r="CR40" s="1">
        <f>BY40/(BY40+CS40)</f>
        <v>0.6337834027811995</v>
      </c>
      <c r="CS40" s="15">
        <f>BW40-CE40</f>
        <v>0.3689442498188726</v>
      </c>
      <c r="CT40" s="59">
        <f t="shared" si="89"/>
        <v>0.1302629460676829</v>
      </c>
      <c r="CU40" s="22">
        <f t="shared" si="90"/>
        <v>0.6346913804422988</v>
      </c>
      <c r="CV40" s="22">
        <f>(BY40/(BZ40+BY40+BW40-CE40+BX40+CA40))*(BY40/(BW40+BV40+BS40+CC40+BY40))</f>
        <v>0.17908418149817712</v>
      </c>
      <c r="CW40" s="22">
        <f t="shared" si="11"/>
        <v>0.5792099707367623</v>
      </c>
      <c r="CX40" s="22">
        <f t="shared" si="12"/>
        <v>0.3346826433567034</v>
      </c>
      <c r="CY40" s="22">
        <f t="shared" si="13"/>
        <v>0.04554453489000193</v>
      </c>
      <c r="CZ40" s="22">
        <f t="shared" si="14"/>
        <v>0.026316821355903474</v>
      </c>
      <c r="DA40" s="58">
        <f>(CY40/(CY40+CZ40+BZ40+CA40+BX40))*(CW40/(CW40+CX40+CE40+CC40+BU40+BS40))</f>
        <v>0.02637984872085746</v>
      </c>
      <c r="DB40" s="22">
        <f t="shared" si="16"/>
        <v>0.07421502879560117</v>
      </c>
      <c r="DC40" s="1">
        <f t="shared" si="17"/>
        <v>0.8326634411984496</v>
      </c>
      <c r="DD40" s="1">
        <f t="shared" si="18"/>
        <v>0.001001517298707542</v>
      </c>
      <c r="DE40" s="1">
        <f t="shared" si="19"/>
        <v>0.014024970331793528</v>
      </c>
      <c r="DF40" s="1">
        <f t="shared" si="20"/>
        <v>0.43147603776946375</v>
      </c>
      <c r="DG40" s="1">
        <f t="shared" si="21"/>
        <v>0.005920704845814978</v>
      </c>
      <c r="DH40" s="1">
        <f t="shared" si="22"/>
        <v>0.39871577296771565</v>
      </c>
      <c r="DI40" s="1">
        <f t="shared" si="23"/>
        <v>0.009986197648250456</v>
      </c>
      <c r="DJ40" s="1">
        <f t="shared" si="24"/>
        <v>0.00016134523200637637</v>
      </c>
      <c r="DK40" s="1">
        <f t="shared" si="25"/>
        <v>0</v>
      </c>
      <c r="DL40" s="1">
        <f t="shared" si="26"/>
        <v>0</v>
      </c>
      <c r="DM40" s="1">
        <f>SUM(DC40:DL40)</f>
        <v>1.693949987292202</v>
      </c>
      <c r="DO40" s="15">
        <f>DC40*2</f>
        <v>1.6653268823968992</v>
      </c>
      <c r="DP40" s="15">
        <f>DD40*2</f>
        <v>0.002003034597415084</v>
      </c>
      <c r="DQ40" s="15">
        <f>DE40*3</f>
        <v>0.042074910995380584</v>
      </c>
      <c r="DR40" s="15">
        <f aca="true" t="shared" si="267" ref="DR40:DW40">DF40</f>
        <v>0.43147603776946375</v>
      </c>
      <c r="DS40" s="15">
        <f t="shared" si="267"/>
        <v>0.005920704845814978</v>
      </c>
      <c r="DT40" s="15">
        <f t="shared" si="267"/>
        <v>0.39871577296771565</v>
      </c>
      <c r="DU40" s="15">
        <f t="shared" si="267"/>
        <v>0.009986197648250456</v>
      </c>
      <c r="DV40" s="15">
        <f t="shared" si="267"/>
        <v>0.00016134523200637637</v>
      </c>
      <c r="DW40" s="15">
        <f t="shared" si="267"/>
        <v>0</v>
      </c>
      <c r="DX40" s="15">
        <f>DL40*3</f>
        <v>0</v>
      </c>
      <c r="DY40" s="15">
        <f>SUM(DO40:DX40)</f>
        <v>2.5556648864529463</v>
      </c>
      <c r="DZ40" s="15">
        <f>6/DY40</f>
        <v>2.3477256473666657</v>
      </c>
      <c r="EB40" s="22">
        <f>DC40*$DZ40</f>
        <v>1.9548653165261856</v>
      </c>
      <c r="EC40" s="22">
        <f>DD40*$DZ40</f>
        <v>0.002351287848457078</v>
      </c>
      <c r="ED40" s="22">
        <f>2-EB40</f>
        <v>0.04513468347381444</v>
      </c>
      <c r="EE40" s="22">
        <f>IF(EF40-ED40&lt;0,0,EF40-ED40)</f>
        <v>0.020718881629202032</v>
      </c>
      <c r="EF40" s="22">
        <f>DE40*$DZ40*2</f>
        <v>0.06585356510301647</v>
      </c>
      <c r="EG40" s="22">
        <f>DF40*$DZ40</f>
        <v>1.0129873600955182</v>
      </c>
      <c r="EH40" s="22">
        <f>DG40*$DZ40</f>
        <v>0.013900190617007924</v>
      </c>
      <c r="EI40" s="22">
        <f>DH40*$DZ40</f>
        <v>0.9360752462059307</v>
      </c>
      <c r="EJ40" s="22">
        <f>DI40*$DZ40</f>
        <v>0.023444852338470275</v>
      </c>
      <c r="EK40" s="22">
        <f>DJ40*$DZ40*2</f>
        <v>0.0007575886785233896</v>
      </c>
      <c r="EL40" s="22">
        <f>DK40*$DZ40*2</f>
        <v>0</v>
      </c>
      <c r="EM40" s="22">
        <f>DL40*$DZ40*2</f>
        <v>0</v>
      </c>
      <c r="EN40" s="15">
        <f>EB40+EC40+EF40+EG40+EH40+EI40+EJ40+EK40+EL40+EM40</f>
        <v>4.01023540741311</v>
      </c>
      <c r="EO40" s="15">
        <f>IF(EK40+ED40-EE40-2*EC40-EM40&gt;0,EK40+ED40-EE40-2*EC40-EM40,0)</f>
        <v>0.02047081482622164</v>
      </c>
      <c r="EP40" s="15">
        <f>12-48/EN40</f>
        <v>0.03062785010831881</v>
      </c>
      <c r="EQ40" s="15">
        <f>EK40</f>
        <v>0.0007575886785233896</v>
      </c>
      <c r="ER40" s="15">
        <f>EC40</f>
        <v>0.002351287848457078</v>
      </c>
      <c r="ES40" s="15">
        <f>EM40</f>
        <v>0</v>
      </c>
      <c r="ET40" s="15">
        <f>(EE40-EQ40-ES40)</f>
        <v>0.019961292950678642</v>
      </c>
      <c r="EU40" s="15">
        <f>EJ40</f>
        <v>0.023444852338470275</v>
      </c>
      <c r="EV40" s="15">
        <f>((EG40+EI40+EH40)-ER40-ET40-EU40)/2</f>
        <v>0.9586026818904254</v>
      </c>
      <c r="EW40" s="15">
        <f>EV40*(EI40/(EI40+EG40+EH40))</f>
        <v>0.45712748243262863</v>
      </c>
      <c r="EX40" s="15">
        <f>EU40*(EI40/(EI40+EG40+EH40))</f>
        <v>0.011180113020708928</v>
      </c>
      <c r="EY40" s="59">
        <f t="shared" si="122"/>
        <v>0.21683573865783434</v>
      </c>
      <c r="EZ40" s="15">
        <f>EJ40/(EJ40+FF40+FG40+EH40+EK40)</f>
        <v>0.023444852338470275</v>
      </c>
      <c r="FA40" s="15">
        <f>(EG40-EO40)/((EG40-EO40)+EI40)</f>
        <v>0.5146327748860199</v>
      </c>
      <c r="FB40" s="15">
        <f>(EI40/(EJ40+EI40-EO40+EG40+EH40+EK40))*(EI40/(EO40+EG40-EO40+EF40+EC40+EM40+EI40))</f>
        <v>0.22086207722176945</v>
      </c>
      <c r="FC40" s="22">
        <f>EI40/(EI40+(EG40-EO40))</f>
        <v>0.48536722511398006</v>
      </c>
      <c r="FD40" s="22">
        <f>(1-EO40-EE40-EC40-EM40)*FC40</f>
        <v>0.46423385838367415</v>
      </c>
      <c r="FE40" s="22">
        <f>(1-EO40-EE40-EC40-EM40)*(1-FC40)</f>
        <v>0.49222515731244526</v>
      </c>
      <c r="FF40" s="22">
        <f>(1-EJ40-EK40-EH40)*FC40</f>
        <v>0.4668734565282445</v>
      </c>
      <c r="FG40" s="22">
        <f>(1-EJ40-EK40-EH40)*(1-FC40)</f>
        <v>0.4950239118377539</v>
      </c>
      <c r="FH40" s="58">
        <f>(FF40/(FF40+FG40+EJ40+EK40+EH40))*(FD40/(EO40+EC40+EE40+EM40+FD40+FE40))</f>
        <v>0.21673846610102945</v>
      </c>
      <c r="FI40" s="15">
        <f>SUM(EQ40:EV40)</f>
        <v>1.0051177037065548</v>
      </c>
      <c r="FK40" s="1">
        <f t="shared" si="28"/>
        <v>0</v>
      </c>
      <c r="FL40" s="1">
        <f>GR40</f>
        <v>0</v>
      </c>
      <c r="FN40" s="1">
        <f t="shared" si="29"/>
        <v>0.09093175849319897</v>
      </c>
      <c r="FO40" s="1">
        <f>1616.67+287.935*LN(FN40)+2.933*FL40</f>
        <v>926.3038103766525</v>
      </c>
      <c r="FQ40" s="1">
        <f t="shared" si="30"/>
        <v>1167.095936801929</v>
      </c>
      <c r="FR40" s="1">
        <f t="shared" si="31"/>
        <v>646.8388466835445</v>
      </c>
      <c r="FS40" s="1">
        <f t="shared" si="32"/>
        <v>1142.7274233046132</v>
      </c>
      <c r="FT40" s="1">
        <f t="shared" si="33"/>
        <v>493.7044205564183</v>
      </c>
      <c r="FU40" s="1">
        <f t="shared" si="135"/>
        <v>0.12171281450594415</v>
      </c>
      <c r="FV40" s="1">
        <f>-273.15+(4900/(1.807-LN(FU40)))</f>
        <v>979.0570184881764</v>
      </c>
      <c r="FW40" s="1">
        <f t="shared" si="34"/>
        <v>948.1405891845112</v>
      </c>
      <c r="FY40" s="1">
        <f t="shared" si="137"/>
        <v>787.8534586258235</v>
      </c>
      <c r="FZ40" s="1">
        <f>-273.15+(3666/(0.8808-LN(EE40/(0.5*EI40))))</f>
        <v>643.7389343326213</v>
      </c>
      <c r="GB40" s="1">
        <f t="shared" si="35"/>
        <v>25.722819756357058</v>
      </c>
      <c r="GC40" s="1">
        <f t="shared" si="36"/>
        <v>21.143150962535696</v>
      </c>
      <c r="GE40" s="1">
        <f>26.23-0.02229*FL40</f>
        <v>26.23</v>
      </c>
      <c r="GF40" s="1">
        <f>32.44-0.08646*FL40</f>
        <v>32.44</v>
      </c>
      <c r="GG40" s="1">
        <f>28.6-1.749*FL40</f>
        <v>28.6</v>
      </c>
      <c r="GH40" s="1">
        <f t="shared" si="37"/>
        <v>465.472901909542</v>
      </c>
      <c r="GI40" s="1">
        <f t="shared" si="38"/>
        <v>496.48954627942385</v>
      </c>
      <c r="GK40" s="1">
        <f>-273.15+(6425+26.4*FL40)/(-LN(EJ40)+1.843)</f>
        <v>874.9701255801425</v>
      </c>
      <c r="GL40" s="1">
        <f t="shared" si="202"/>
        <v>1005.2405687408074</v>
      </c>
      <c r="GN40" s="1">
        <f t="shared" si="143"/>
        <v>819.7819778819957</v>
      </c>
      <c r="GP40" s="1">
        <f t="shared" si="39"/>
        <v>0</v>
      </c>
      <c r="GQ40" s="1">
        <f>IF(GP40=0,0,GP40-FL40)</f>
        <v>0</v>
      </c>
      <c r="GR40" s="2">
        <f t="shared" si="40"/>
        <v>0</v>
      </c>
    </row>
    <row r="41" ht="12.75">
      <c r="AF41"/>
    </row>
    <row r="42" spans="32:101" ht="12.75">
      <c r="AF42"/>
      <c r="CW42" s="22"/>
    </row>
    <row r="43" ht="12.75">
      <c r="AF43"/>
    </row>
    <row r="44" ht="12.75">
      <c r="AF44"/>
    </row>
  </sheetData>
  <sheetProtection/>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2008-10-11T16:54:59Z</dcterms:created>
  <dcterms:modified xsi:type="dcterms:W3CDTF">2015-12-08T17:35:25Z</dcterms:modified>
  <cp:category/>
  <cp:version/>
  <cp:contentType/>
  <cp:contentStatus/>
</cp:coreProperties>
</file>